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FEJL\FORDULAT_KKV beruházási\Kalkulátor\"/>
    </mc:Choice>
  </mc:AlternateContent>
  <workbookProtection workbookAlgorithmName="SHA-512" workbookHashValue="donBQb9QeLGX1p0fOLPnwlykuwQxOxwdi+2PSrwEsirpPuAjsWU6kPvSIeFsCcGwszD9FTwxMDbvzP+HNMdZhQ==" workbookSaltValue="l846GKD/l5fzuwxgGXTOag==" workbookSpinCount="100000" lockStructure="1"/>
  <bookViews>
    <workbookView xWindow="0" yWindow="0" windowWidth="28800" windowHeight="12300" activeTab="1"/>
  </bookViews>
  <sheets>
    <sheet name="Elolap" sheetId="19" r:id="rId1"/>
    <sheet name="Tamogatastartalom" sheetId="1" r:id="rId2"/>
    <sheet name="Szamitasok" sheetId="17" state="hidden" r:id="rId3"/>
    <sheet name="Adatok" sheetId="16" state="hidden" r:id="rId4"/>
  </sheets>
  <externalReferences>
    <externalReference r:id="rId5"/>
  </externalReferences>
  <definedNames>
    <definedName name="altalanoskizarok">Szamitasok!$A$4</definedName>
    <definedName name="arfolyam" localSheetId="0">[1]Támogatástartalom!$C$2</definedName>
    <definedName name="arfolyam">Tamogatastartalom!$C$23</definedName>
    <definedName name="deminimiskizarok" localSheetId="0">[1]Számítások!$A$4</definedName>
    <definedName name="eurelszamolhato" localSheetId="0">[1]Számítások!$B$10</definedName>
    <definedName name="eurelszamolhato">Szamitasok!$B$9</definedName>
    <definedName name="eximfelar">Tamogatastartalom!$D$11</definedName>
    <definedName name="forintelszamolhato" localSheetId="0">[1]Számítások!$B$29</definedName>
    <definedName name="forintelszamolhato">Szamitasok!$B$21</definedName>
    <definedName name="fuvarozas" localSheetId="0">[1]Támogatástartalom!$C$30</definedName>
    <definedName name="halaszatikizarok">Szamitasok!$A$6</definedName>
    <definedName name="Helyszín" localSheetId="0">[1]Adatok!$A$12:$A$19</definedName>
    <definedName name="Helyszín">Adatok!$A$12:$A$19</definedName>
    <definedName name="Hitelek" localSheetId="0">[1]Adatok!$S$2:$S$5</definedName>
    <definedName name="Hitelek">Adatok!$S$2:$S$5</definedName>
    <definedName name="hitelpertamogatasarany" localSheetId="0">[1]Számítások!$B$36</definedName>
    <definedName name="hitelpertamogatasarany">Szamitasok!$B$25</definedName>
    <definedName name="huszonketteskizarok" localSheetId="0">[1]Számítások!$A$7</definedName>
    <definedName name="innovativ" localSheetId="0">[1]Támogatástartalom!$C$43</definedName>
    <definedName name="kategoriavalaszto">Tamogatastartalom!$G$16</definedName>
    <definedName name="Közép_Magyarország">Adatok!$A$21:$A$209</definedName>
    <definedName name="maxhithuszonkettes" localSheetId="0">[1]Számítások!$B$25</definedName>
    <definedName name="mezogazdkizarok">Szamitasok!$A$5</definedName>
    <definedName name="minkamatkedv">Tamogatastartalom!$D$12</definedName>
    <definedName name="piacikamat" localSheetId="0">[1]Támogatástartalom!$C$9</definedName>
    <definedName name="piacikamat">Tamogatastartalom!$C$15</definedName>
    <definedName name="piacikamat2">Tamogatastartalom!#REF!</definedName>
    <definedName name="refkam" localSheetId="0">[1]Támogatástartalom!$C$4</definedName>
    <definedName name="refkam">Tamogatastartalom!$C$9</definedName>
    <definedName name="refkammax" localSheetId="0">[1]Adatok!$K$7</definedName>
    <definedName name="refkammax">Adatok!$K$7</definedName>
    <definedName name="refkammin" localSheetId="0">[1]Adatok!$K$6</definedName>
    <definedName name="refkammin">Adatok!$K$6</definedName>
    <definedName name="solver_adj" localSheetId="1" hidden="1">Tamogatastartalom!$C$28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Tamogatastartalom!$I$4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100000</definedName>
    <definedName name="solver_ver" localSheetId="1" hidden="1">3</definedName>
    <definedName name="tenylegeskamat" localSheetId="0">[1]Támogatástartalom!$C$16</definedName>
    <definedName name="tenylegeskamat">Tamogatastartalom!$C$28</definedName>
    <definedName name="tenylegestt">Tamogatastartalom!$I$4</definedName>
    <definedName name="tizenheteskizarok" localSheetId="0">[1]Számítások!$A$6</definedName>
    <definedName name="tizennegyeskizarok" localSheetId="0">[1]Számítások!$A$5</definedName>
    <definedName name="torlesztes" localSheetId="0">[1]Támogatástartalom!$C$17</definedName>
    <definedName name="torlesztes">Tamogatastartalom!$C$29</definedName>
    <definedName name="Törlesztés" localSheetId="0">[1]Adatok!$M$4:$M$5</definedName>
    <definedName name="Törlesztés">Adatok!$M$4:$M$5</definedName>
    <definedName name="Törlesztés_lízing">Adatok!$M$6:$M$7</definedName>
    <definedName name="Törlesztésgyakoriság" localSheetId="0">[1]Adatok!$P$3:$P$6</definedName>
    <definedName name="Törlesztésgyakoriság">Adatok!$P$3:$P$5</definedName>
    <definedName name="ttmax_alt">Tamogatastartalom!$G$10</definedName>
    <definedName name="ttmax_hal">Tamogatastartalom!$I$10</definedName>
    <definedName name="ttmax_mg">Tamogatastartalom!$H$10</definedName>
    <definedName name="ttmax14es" localSheetId="0">[1]Támogatástartalom!$G$9</definedName>
    <definedName name="ttmax17es" localSheetId="0">[1]Támogatástartalom!$G$12</definedName>
    <definedName name="vallalatmeret">Tamogatastartalom!#REF!</definedName>
    <definedName name="vallmeret" localSheetId="0">[1]Számítások!$B$27</definedName>
    <definedName name="vallmeret">Szamitasok!$B$19</definedName>
  </definedNames>
  <calcPr calcId="162913"/>
</workbook>
</file>

<file path=xl/calcChain.xml><?xml version="1.0" encoding="utf-8"?>
<calcChain xmlns="http://schemas.openxmlformats.org/spreadsheetml/2006/main">
  <c r="B22" i="1" l="1"/>
  <c r="T1" i="1"/>
  <c r="L1" i="1" l="1"/>
  <c r="B27" i="1" l="1"/>
  <c r="G10" i="1" l="1"/>
  <c r="I3" i="1" l="1"/>
  <c r="F6" i="17"/>
  <c r="E5" i="17"/>
  <c r="C1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B23" i="17" l="1"/>
  <c r="AK7" i="1"/>
  <c r="O7" i="1"/>
  <c r="C28" i="1" l="1"/>
  <c r="B25" i="1" l="1"/>
  <c r="A5" i="17" l="1"/>
  <c r="H10" i="1" s="1"/>
  <c r="B11" i="17"/>
  <c r="B30" i="1" l="1"/>
  <c r="D19" i="1" l="1"/>
  <c r="AJ6" i="1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N45" i="1"/>
  <c r="O45" i="1"/>
  <c r="N46" i="1"/>
  <c r="O46" i="1"/>
  <c r="N9" i="1" l="1"/>
  <c r="N10" i="1"/>
  <c r="R10" i="1" s="1"/>
  <c r="N11" i="1"/>
  <c r="R11" i="1" s="1"/>
  <c r="N12" i="1"/>
  <c r="R12" i="1" s="1"/>
  <c r="N13" i="1"/>
  <c r="R13" i="1" s="1"/>
  <c r="N14" i="1"/>
  <c r="R14" i="1" s="1"/>
  <c r="N15" i="1"/>
  <c r="R15" i="1" s="1"/>
  <c r="N16" i="1"/>
  <c r="R16" i="1" s="1"/>
  <c r="N17" i="1"/>
  <c r="R17" i="1" s="1"/>
  <c r="N18" i="1"/>
  <c r="R18" i="1" s="1"/>
  <c r="N19" i="1"/>
  <c r="R19" i="1" s="1"/>
  <c r="N20" i="1"/>
  <c r="R20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N32" i="1"/>
  <c r="R32" i="1" s="1"/>
  <c r="N33" i="1"/>
  <c r="R33" i="1" s="1"/>
  <c r="N34" i="1"/>
  <c r="R34" i="1" s="1"/>
  <c r="N35" i="1"/>
  <c r="R35" i="1" s="1"/>
  <c r="N36" i="1"/>
  <c r="R36" i="1" s="1"/>
  <c r="N37" i="1"/>
  <c r="R37" i="1" s="1"/>
  <c r="N38" i="1"/>
  <c r="R38" i="1" s="1"/>
  <c r="N39" i="1"/>
  <c r="R39" i="1" s="1"/>
  <c r="N40" i="1"/>
  <c r="R40" i="1" s="1"/>
  <c r="N41" i="1"/>
  <c r="R41" i="1" s="1"/>
  <c r="N42" i="1"/>
  <c r="R42" i="1" s="1"/>
  <c r="N43" i="1"/>
  <c r="R43" i="1" s="1"/>
  <c r="N44" i="1"/>
  <c r="R44" i="1" s="1"/>
  <c r="N8" i="1"/>
  <c r="R8" i="1" s="1"/>
  <c r="R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8" i="1"/>
  <c r="N7" i="1"/>
  <c r="R7" i="1" l="1"/>
  <c r="Q7" i="1"/>
  <c r="Q8" i="1"/>
  <c r="O9" i="1"/>
  <c r="AI7" i="1"/>
  <c r="Q9" i="1" l="1"/>
  <c r="Q5" i="1" s="1"/>
  <c r="AJ7" i="1"/>
  <c r="AP7" i="1" l="1"/>
  <c r="B17" i="17" l="1"/>
  <c r="B14" i="17" l="1"/>
  <c r="AJ8" i="1" l="1"/>
  <c r="AJ9" i="1" l="1"/>
  <c r="AA7" i="1"/>
  <c r="AF7" i="1" s="1"/>
  <c r="AB7" i="1"/>
  <c r="C15" i="1"/>
  <c r="K4" i="16"/>
  <c r="K6" i="16" s="1"/>
  <c r="A6" i="17"/>
  <c r="I10" i="1" s="1"/>
  <c r="P7" i="1" l="1"/>
  <c r="P8" i="1"/>
  <c r="AJ10" i="1"/>
  <c r="B19" i="17"/>
  <c r="K7" i="16"/>
  <c r="AJ11" i="1" l="1"/>
  <c r="AM7" i="1"/>
  <c r="P5" i="1"/>
  <c r="A4" i="17"/>
  <c r="AJ12" i="1" l="1"/>
  <c r="AJ13" i="1" l="1"/>
  <c r="D10" i="1"/>
  <c r="AJ14" i="1" l="1"/>
  <c r="I5" i="1"/>
  <c r="AJ15" i="1" l="1"/>
  <c r="AT7" i="1"/>
  <c r="AJ16" i="1" l="1"/>
  <c r="AK5" i="1"/>
  <c r="AL7" i="1" s="1"/>
  <c r="AN7" i="1"/>
  <c r="AO7" i="1" s="1"/>
  <c r="AJ17" i="1" l="1"/>
  <c r="AA17" i="1" s="1"/>
  <c r="AF17" i="1" s="1"/>
  <c r="AA11" i="1"/>
  <c r="AF11" i="1" s="1"/>
  <c r="AB11" i="1"/>
  <c r="AA9" i="1"/>
  <c r="AF9" i="1" s="1"/>
  <c r="AB9" i="1"/>
  <c r="AA15" i="1"/>
  <c r="AF15" i="1" s="1"/>
  <c r="AB15" i="1"/>
  <c r="AB14" i="1"/>
  <c r="AA14" i="1"/>
  <c r="AF14" i="1" s="1"/>
  <c r="AA8" i="1"/>
  <c r="AF8" i="1" s="1"/>
  <c r="AB8" i="1"/>
  <c r="AA12" i="1"/>
  <c r="AF12" i="1" s="1"/>
  <c r="AB12" i="1"/>
  <c r="AA10" i="1"/>
  <c r="AF10" i="1" s="1"/>
  <c r="AB10" i="1"/>
  <c r="AA13" i="1"/>
  <c r="AF13" i="1" s="1"/>
  <c r="AB13" i="1"/>
  <c r="AA16" i="1"/>
  <c r="AF16" i="1" s="1"/>
  <c r="AB16" i="1"/>
  <c r="AT8" i="1"/>
  <c r="AI8" i="1"/>
  <c r="AN5" i="1"/>
  <c r="AB17" i="1" l="1"/>
  <c r="AJ18" i="1"/>
  <c r="AT9" i="1"/>
  <c r="AI9" i="1"/>
  <c r="AJ19" i="1" l="1"/>
  <c r="AA18" i="1"/>
  <c r="AB18" i="1"/>
  <c r="AT10" i="1"/>
  <c r="AI10" i="1"/>
  <c r="AF18" i="1" l="1"/>
  <c r="AJ20" i="1"/>
  <c r="AA19" i="1"/>
  <c r="AB19" i="1"/>
  <c r="AT11" i="1"/>
  <c r="AI11" i="1"/>
  <c r="AF19" i="1" l="1"/>
  <c r="AJ21" i="1"/>
  <c r="AA20" i="1"/>
  <c r="AB20" i="1"/>
  <c r="AT12" i="1"/>
  <c r="AI12" i="1"/>
  <c r="AF20" i="1" l="1"/>
  <c r="AJ22" i="1"/>
  <c r="AA21" i="1"/>
  <c r="AB21" i="1"/>
  <c r="AT13" i="1"/>
  <c r="AI13" i="1"/>
  <c r="AF21" i="1" l="1"/>
  <c r="AJ23" i="1"/>
  <c r="AA22" i="1"/>
  <c r="AB22" i="1"/>
  <c r="AT14" i="1"/>
  <c r="AI14" i="1"/>
  <c r="AF22" i="1" l="1"/>
  <c r="AJ24" i="1"/>
  <c r="AA23" i="1"/>
  <c r="AB23" i="1"/>
  <c r="AT15" i="1"/>
  <c r="AI15" i="1"/>
  <c r="AF23" i="1" l="1"/>
  <c r="AJ25" i="1"/>
  <c r="AA24" i="1"/>
  <c r="AB24" i="1"/>
  <c r="AT16" i="1"/>
  <c r="AI16" i="1"/>
  <c r="AF24" i="1" l="1"/>
  <c r="AJ26" i="1"/>
  <c r="AA25" i="1"/>
  <c r="AB25" i="1"/>
  <c r="AT17" i="1"/>
  <c r="AI17" i="1"/>
  <c r="AF25" i="1" l="1"/>
  <c r="AJ27" i="1"/>
  <c r="AB26" i="1"/>
  <c r="AA26" i="1"/>
  <c r="AT18" i="1"/>
  <c r="AI18" i="1"/>
  <c r="AF26" i="1" l="1"/>
  <c r="AJ28" i="1"/>
  <c r="AA27" i="1"/>
  <c r="AB27" i="1"/>
  <c r="AT19" i="1"/>
  <c r="AI19" i="1"/>
  <c r="AT20" i="1"/>
  <c r="AF27" i="1" l="1"/>
  <c r="AJ29" i="1"/>
  <c r="AA28" i="1"/>
  <c r="AB28" i="1"/>
  <c r="AI20" i="1"/>
  <c r="AT21" i="1"/>
  <c r="AF28" i="1" l="1"/>
  <c r="AJ30" i="1"/>
  <c r="AB29" i="1"/>
  <c r="AA29" i="1"/>
  <c r="AI21" i="1"/>
  <c r="AT22" i="1"/>
  <c r="AF29" i="1" l="1"/>
  <c r="AJ31" i="1"/>
  <c r="AA30" i="1"/>
  <c r="AB30" i="1"/>
  <c r="AI22" i="1"/>
  <c r="AT23" i="1"/>
  <c r="AF30" i="1" l="1"/>
  <c r="AJ32" i="1"/>
  <c r="AA31" i="1"/>
  <c r="AB31" i="1"/>
  <c r="AI23" i="1"/>
  <c r="AT24" i="1"/>
  <c r="AF31" i="1" l="1"/>
  <c r="AJ33" i="1"/>
  <c r="AA32" i="1"/>
  <c r="AB32" i="1"/>
  <c r="AI24" i="1"/>
  <c r="AT25" i="1"/>
  <c r="AF32" i="1" l="1"/>
  <c r="AJ34" i="1"/>
  <c r="AB33" i="1"/>
  <c r="AA33" i="1"/>
  <c r="AI25" i="1"/>
  <c r="AI26" i="1" s="1"/>
  <c r="AT26" i="1"/>
  <c r="AF33" i="1" l="1"/>
  <c r="AJ35" i="1"/>
  <c r="AA34" i="1"/>
  <c r="AB34" i="1"/>
  <c r="AT27" i="1"/>
  <c r="AI27" i="1"/>
  <c r="AF34" i="1" l="1"/>
  <c r="AJ36" i="1"/>
  <c r="AA35" i="1"/>
  <c r="AB35" i="1"/>
  <c r="AT28" i="1"/>
  <c r="AI28" i="1"/>
  <c r="AF35" i="1" l="1"/>
  <c r="AJ37" i="1"/>
  <c r="AA36" i="1"/>
  <c r="AB36" i="1"/>
  <c r="AT29" i="1"/>
  <c r="AI29" i="1"/>
  <c r="AF36" i="1" l="1"/>
  <c r="AJ38" i="1"/>
  <c r="AA37" i="1"/>
  <c r="AB37" i="1"/>
  <c r="AT30" i="1"/>
  <c r="AI30" i="1"/>
  <c r="AF37" i="1" l="1"/>
  <c r="AJ39" i="1"/>
  <c r="AA38" i="1"/>
  <c r="AB38" i="1"/>
  <c r="AT31" i="1"/>
  <c r="AI31" i="1"/>
  <c r="AF38" i="1" l="1"/>
  <c r="AJ40" i="1"/>
  <c r="AA39" i="1"/>
  <c r="AB39" i="1"/>
  <c r="AT32" i="1"/>
  <c r="AI32" i="1"/>
  <c r="AF39" i="1" l="1"/>
  <c r="AJ41" i="1"/>
  <c r="AA40" i="1"/>
  <c r="AB40" i="1"/>
  <c r="AT33" i="1"/>
  <c r="AI33" i="1"/>
  <c r="AF40" i="1" l="1"/>
  <c r="AJ42" i="1"/>
  <c r="AB41" i="1"/>
  <c r="AA41" i="1"/>
  <c r="AT34" i="1"/>
  <c r="AI34" i="1"/>
  <c r="AF41" i="1" l="1"/>
  <c r="AJ43" i="1"/>
  <c r="AA42" i="1"/>
  <c r="AB42" i="1"/>
  <c r="AT35" i="1"/>
  <c r="AI35" i="1"/>
  <c r="AF42" i="1" l="1"/>
  <c r="AJ44" i="1"/>
  <c r="AA43" i="1"/>
  <c r="AB43" i="1"/>
  <c r="AT36" i="1"/>
  <c r="AI36" i="1"/>
  <c r="AF43" i="1" l="1"/>
  <c r="AJ45" i="1"/>
  <c r="AA44" i="1"/>
  <c r="AB44" i="1"/>
  <c r="AT37" i="1"/>
  <c r="AI37" i="1"/>
  <c r="AF44" i="1" l="1"/>
  <c r="AJ46" i="1"/>
  <c r="AA45" i="1"/>
  <c r="AB45" i="1"/>
  <c r="AT38" i="1"/>
  <c r="AI38" i="1"/>
  <c r="AF45" i="1" l="1"/>
  <c r="AA46" i="1"/>
  <c r="AB46" i="1"/>
  <c r="AT39" i="1"/>
  <c r="AI39" i="1"/>
  <c r="AF46" i="1" l="1"/>
  <c r="AT40" i="1"/>
  <c r="AI40" i="1"/>
  <c r="AT41" i="1" l="1"/>
  <c r="AI41" i="1"/>
  <c r="AT42" i="1" l="1"/>
  <c r="AI42" i="1"/>
  <c r="AT43" i="1" l="1"/>
  <c r="AI43" i="1"/>
  <c r="AT44" i="1" l="1"/>
  <c r="AI44" i="1"/>
  <c r="AT45" i="1" l="1"/>
  <c r="AI45" i="1"/>
  <c r="AT46" i="1" l="1"/>
  <c r="AI46" i="1"/>
  <c r="V37" i="1" l="1"/>
  <c r="Z37" i="1" s="1"/>
  <c r="V14" i="1"/>
  <c r="Z14" i="1" s="1"/>
  <c r="V10" i="1"/>
  <c r="Z10" i="1" s="1"/>
  <c r="V40" i="1"/>
  <c r="Z40" i="1" s="1"/>
  <c r="V38" i="1"/>
  <c r="Z38" i="1" s="1"/>
  <c r="V39" i="1"/>
  <c r="Z39" i="1" s="1"/>
  <c r="V8" i="1"/>
  <c r="Z8" i="1" s="1"/>
  <c r="V44" i="1"/>
  <c r="Z44" i="1" s="1"/>
  <c r="V22" i="1"/>
  <c r="Z22" i="1" s="1"/>
  <c r="V18" i="1"/>
  <c r="Z18" i="1" s="1"/>
  <c r="V32" i="1"/>
  <c r="Z32" i="1" s="1"/>
  <c r="V20" i="1"/>
  <c r="Z20" i="1" s="1"/>
  <c r="V16" i="1"/>
  <c r="Z16" i="1" s="1"/>
  <c r="V21" i="1"/>
  <c r="Z21" i="1" s="1"/>
  <c r="V28" i="1"/>
  <c r="Z28" i="1" s="1"/>
  <c r="V11" i="1"/>
  <c r="Z11" i="1" s="1"/>
  <c r="V7" i="1"/>
  <c r="Z7" i="1" s="1"/>
  <c r="V12" i="1"/>
  <c r="Z12" i="1" s="1"/>
  <c r="V17" i="1"/>
  <c r="Z17" i="1" s="1"/>
  <c r="V24" i="1"/>
  <c r="Z24" i="1" s="1"/>
  <c r="V31" i="1"/>
  <c r="Z31" i="1" s="1"/>
  <c r="V34" i="1"/>
  <c r="Z34" i="1" s="1"/>
  <c r="V42" i="1"/>
  <c r="Z42" i="1" s="1"/>
  <c r="V25" i="1"/>
  <c r="Z25" i="1" s="1"/>
  <c r="V9" i="1"/>
  <c r="Z9" i="1" s="1"/>
  <c r="V30" i="1"/>
  <c r="Z30" i="1" s="1"/>
  <c r="V33" i="1"/>
  <c r="Z33" i="1" s="1"/>
  <c r="V43" i="1"/>
  <c r="Z43" i="1" s="1"/>
  <c r="V23" i="1"/>
  <c r="Z23" i="1" s="1"/>
  <c r="V46" i="1"/>
  <c r="Z46" i="1" s="1"/>
  <c r="V27" i="1"/>
  <c r="Z27" i="1" s="1"/>
  <c r="V36" i="1"/>
  <c r="Z36" i="1" s="1"/>
  <c r="V26" i="1"/>
  <c r="Z26" i="1" s="1"/>
  <c r="V29" i="1"/>
  <c r="Z29" i="1" s="1"/>
  <c r="V35" i="1"/>
  <c r="Z35" i="1" s="1"/>
  <c r="V15" i="1"/>
  <c r="Z15" i="1" s="1"/>
  <c r="V45" i="1"/>
  <c r="Z45" i="1" s="1"/>
  <c r="V19" i="1"/>
  <c r="Z19" i="1" s="1"/>
  <c r="V41" i="1"/>
  <c r="Z41" i="1" s="1"/>
  <c r="V13" i="1"/>
  <c r="Z13" i="1" s="1"/>
  <c r="D15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AK8" i="1" l="1"/>
  <c r="AN8" i="1"/>
  <c r="AO8" i="1" l="1"/>
  <c r="AN9" i="1" s="1"/>
  <c r="AL8" i="1"/>
  <c r="AK9" i="1" s="1"/>
  <c r="AO9" i="1" l="1"/>
  <c r="AN10" i="1" s="1"/>
  <c r="AL9" i="1"/>
  <c r="AK10" i="1" s="1"/>
  <c r="W7" i="1"/>
  <c r="X7" i="1" s="1"/>
  <c r="AL10" i="1" l="1"/>
  <c r="AK11" i="1" s="1"/>
  <c r="AO10" i="1"/>
  <c r="AN11" i="1" s="1"/>
  <c r="W8" i="1"/>
  <c r="X8" i="1" s="1"/>
  <c r="AO11" i="1" l="1"/>
  <c r="AN12" i="1" s="1"/>
  <c r="AL11" i="1"/>
  <c r="AK12" i="1" s="1"/>
  <c r="Y7" i="1"/>
  <c r="AL12" i="1" l="1"/>
  <c r="AK13" i="1" s="1"/>
  <c r="AO12" i="1"/>
  <c r="AN13" i="1" s="1"/>
  <c r="AO13" i="1" s="1"/>
  <c r="Y8" i="1"/>
  <c r="AL13" i="1" l="1"/>
  <c r="AK14" i="1" s="1"/>
  <c r="AL14" i="1" s="1"/>
  <c r="AN14" i="1"/>
  <c r="AO14" i="1" l="1"/>
  <c r="AN15" i="1" s="1"/>
  <c r="AO15" i="1" s="1"/>
  <c r="AK15" i="1"/>
  <c r="AL15" i="1" s="1"/>
  <c r="AN16" i="1" l="1"/>
  <c r="AO16" i="1" s="1"/>
  <c r="AN17" i="1" s="1"/>
  <c r="AO17" i="1" s="1"/>
  <c r="AK16" i="1"/>
  <c r="AL16" i="1" s="1"/>
  <c r="AC7" i="1"/>
  <c r="AD7" i="1" s="1"/>
  <c r="AK17" i="1" l="1"/>
  <c r="AL17" i="1" s="1"/>
  <c r="AN18" i="1"/>
  <c r="AO18" i="1" s="1"/>
  <c r="AE7" i="1"/>
  <c r="AK18" i="1" l="1"/>
  <c r="AL18" i="1" s="1"/>
  <c r="AN19" i="1"/>
  <c r="AO19" i="1" s="1"/>
  <c r="AK19" i="1" l="1"/>
  <c r="AL19" i="1" s="1"/>
  <c r="AN20" i="1"/>
  <c r="AO20" i="1" s="1"/>
  <c r="AK20" i="1" l="1"/>
  <c r="AL20" i="1" s="1"/>
  <c r="AN21" i="1"/>
  <c r="AO21" i="1" s="1"/>
  <c r="AK21" i="1" l="1"/>
  <c r="AL21" i="1" s="1"/>
  <c r="AN22" i="1"/>
  <c r="AO22" i="1" s="1"/>
  <c r="AK22" i="1" l="1"/>
  <c r="W9" i="1"/>
  <c r="X9" i="1" s="1"/>
  <c r="AC21" i="1"/>
  <c r="AD21" i="1" s="1"/>
  <c r="AM21" i="1" s="1"/>
  <c r="AC19" i="1"/>
  <c r="AD19" i="1" s="1"/>
  <c r="AM19" i="1" s="1"/>
  <c r="AC20" i="1"/>
  <c r="AD20" i="1" s="1"/>
  <c r="AM20" i="1" s="1"/>
  <c r="AN23" i="1"/>
  <c r="AO23" i="1" s="1"/>
  <c r="AC22" i="1"/>
  <c r="AD22" i="1" s="1"/>
  <c r="AM22" i="1" s="1"/>
  <c r="AL22" i="1" l="1"/>
  <c r="AK23" i="1" s="1"/>
  <c r="Y9" i="1"/>
  <c r="W10" i="1"/>
  <c r="X10" i="1" s="1"/>
  <c r="AE21" i="1"/>
  <c r="AP21" i="1" s="1"/>
  <c r="AE20" i="1"/>
  <c r="AP20" i="1" s="1"/>
  <c r="AE19" i="1"/>
  <c r="AP19" i="1" s="1"/>
  <c r="AN24" i="1"/>
  <c r="AO24" i="1" s="1"/>
  <c r="AL23" i="1" l="1"/>
  <c r="AK24" i="1" s="1"/>
  <c r="AC23" i="1"/>
  <c r="AD23" i="1" s="1"/>
  <c r="AM23" i="1" s="1"/>
  <c r="W11" i="1"/>
  <c r="X11" i="1" s="1"/>
  <c r="Y10" i="1"/>
  <c r="AR19" i="1"/>
  <c r="AS19" i="1" s="1"/>
  <c r="AR20" i="1"/>
  <c r="AS20" i="1" s="1"/>
  <c r="AN25" i="1"/>
  <c r="AO25" i="1" s="1"/>
  <c r="AR21" i="1"/>
  <c r="AS21" i="1" s="1"/>
  <c r="AL24" i="1" l="1"/>
  <c r="AK25" i="1" s="1"/>
  <c r="AC24" i="1"/>
  <c r="AD24" i="1" s="1"/>
  <c r="AM24" i="1" s="1"/>
  <c r="Y11" i="1"/>
  <c r="W12" i="1"/>
  <c r="X12" i="1" s="1"/>
  <c r="AN26" i="1"/>
  <c r="AO26" i="1" s="1"/>
  <c r="AL25" i="1" l="1"/>
  <c r="AK26" i="1" s="1"/>
  <c r="W13" i="1"/>
  <c r="X13" i="1" s="1"/>
  <c r="Y12" i="1"/>
  <c r="AN27" i="1"/>
  <c r="AO27" i="1" s="1"/>
  <c r="AL26" i="1" l="1"/>
  <c r="AK27" i="1" s="1"/>
  <c r="W14" i="1"/>
  <c r="X14" i="1" s="1"/>
  <c r="AN28" i="1"/>
  <c r="AO28" i="1" s="1"/>
  <c r="AC13" i="1"/>
  <c r="AD13" i="1" s="1"/>
  <c r="AM13" i="1" s="1"/>
  <c r="AC25" i="1"/>
  <c r="AD25" i="1" s="1"/>
  <c r="AM25" i="1" s="1"/>
  <c r="AC26" i="1"/>
  <c r="AD26" i="1" s="1"/>
  <c r="AM26" i="1" s="1"/>
  <c r="AC10" i="1"/>
  <c r="AD10" i="1" s="1"/>
  <c r="AM10" i="1" s="1"/>
  <c r="AC11" i="1"/>
  <c r="AD11" i="1" s="1"/>
  <c r="AM11" i="1" s="1"/>
  <c r="AC14" i="1"/>
  <c r="AD14" i="1" s="1"/>
  <c r="AM14" i="1" s="1"/>
  <c r="AC16" i="1"/>
  <c r="AD16" i="1" s="1"/>
  <c r="AM16" i="1" s="1"/>
  <c r="AC17" i="1"/>
  <c r="AD17" i="1" s="1"/>
  <c r="AM17" i="1" s="1"/>
  <c r="AL27" i="1" l="1"/>
  <c r="AK28" i="1" s="1"/>
  <c r="AC27" i="1"/>
  <c r="AD27" i="1" s="1"/>
  <c r="AM27" i="1" s="1"/>
  <c r="W15" i="1"/>
  <c r="X15" i="1" s="1"/>
  <c r="AC8" i="1"/>
  <c r="AN29" i="1"/>
  <c r="AO29" i="1" s="1"/>
  <c r="AC15" i="1"/>
  <c r="AD15" i="1" s="1"/>
  <c r="AM15" i="1" s="1"/>
  <c r="AL28" i="1" l="1"/>
  <c r="AK29" i="1" s="1"/>
  <c r="AC28" i="1"/>
  <c r="AD28" i="1" s="1"/>
  <c r="AM28" i="1" s="1"/>
  <c r="AE8" i="1"/>
  <c r="AP8" i="1" s="1"/>
  <c r="AD8" i="1"/>
  <c r="AM8" i="1" s="1"/>
  <c r="AN30" i="1"/>
  <c r="AO30" i="1" s="1"/>
  <c r="AL29" i="1" l="1"/>
  <c r="AK30" i="1" s="1"/>
  <c r="AC29" i="1"/>
  <c r="AD29" i="1" s="1"/>
  <c r="AM29" i="1" s="1"/>
  <c r="AN31" i="1"/>
  <c r="AO31" i="1" s="1"/>
  <c r="AL30" i="1" l="1"/>
  <c r="AK31" i="1" s="1"/>
  <c r="AC30" i="1"/>
  <c r="AD30" i="1" s="1"/>
  <c r="AM30" i="1" s="1"/>
  <c r="AN32" i="1"/>
  <c r="AO32" i="1" s="1"/>
  <c r="AL31" i="1" l="1"/>
  <c r="AK32" i="1" s="1"/>
  <c r="AC31" i="1"/>
  <c r="AD31" i="1" s="1"/>
  <c r="AM31" i="1" s="1"/>
  <c r="AN33" i="1"/>
  <c r="AO33" i="1" s="1"/>
  <c r="AL32" i="1" l="1"/>
  <c r="AK33" i="1" s="1"/>
  <c r="AC32" i="1"/>
  <c r="AD32" i="1" s="1"/>
  <c r="AM32" i="1" s="1"/>
  <c r="AN34" i="1"/>
  <c r="AO34" i="1" s="1"/>
  <c r="AL33" i="1" l="1"/>
  <c r="AK34" i="1" s="1"/>
  <c r="AC33" i="1"/>
  <c r="AD33" i="1" s="1"/>
  <c r="AM33" i="1" s="1"/>
  <c r="AN35" i="1"/>
  <c r="AO35" i="1" s="1"/>
  <c r="AL34" i="1" l="1"/>
  <c r="AK35" i="1" s="1"/>
  <c r="AC34" i="1"/>
  <c r="AD34" i="1" s="1"/>
  <c r="AM34" i="1" s="1"/>
  <c r="AN36" i="1"/>
  <c r="AO36" i="1" s="1"/>
  <c r="AL35" i="1" l="1"/>
  <c r="AK36" i="1" s="1"/>
  <c r="AC35" i="1"/>
  <c r="AD35" i="1" s="1"/>
  <c r="AM35" i="1" s="1"/>
  <c r="AN37" i="1"/>
  <c r="AO37" i="1" s="1"/>
  <c r="AL36" i="1" l="1"/>
  <c r="AK37" i="1" s="1"/>
  <c r="AC36" i="1"/>
  <c r="AD36" i="1" s="1"/>
  <c r="AM36" i="1" s="1"/>
  <c r="AN38" i="1"/>
  <c r="AO38" i="1" s="1"/>
  <c r="AL37" i="1" l="1"/>
  <c r="AK38" i="1" s="1"/>
  <c r="AC37" i="1"/>
  <c r="AD37" i="1" s="1"/>
  <c r="AM37" i="1" s="1"/>
  <c r="AN39" i="1"/>
  <c r="AO39" i="1" s="1"/>
  <c r="AL38" i="1" l="1"/>
  <c r="AK39" i="1" s="1"/>
  <c r="AC38" i="1"/>
  <c r="AD38" i="1" s="1"/>
  <c r="AM38" i="1" s="1"/>
  <c r="AN40" i="1"/>
  <c r="AO40" i="1" s="1"/>
  <c r="AL39" i="1" l="1"/>
  <c r="AK40" i="1" s="1"/>
  <c r="AC39" i="1"/>
  <c r="AD39" i="1" s="1"/>
  <c r="AM39" i="1" s="1"/>
  <c r="AN41" i="1"/>
  <c r="AO41" i="1" s="1"/>
  <c r="AL40" i="1" l="1"/>
  <c r="AK41" i="1" s="1"/>
  <c r="AC40" i="1"/>
  <c r="AD40" i="1" s="1"/>
  <c r="AM40" i="1" s="1"/>
  <c r="AN42" i="1"/>
  <c r="AO42" i="1" s="1"/>
  <c r="AL41" i="1" l="1"/>
  <c r="AK42" i="1" s="1"/>
  <c r="AC41" i="1"/>
  <c r="AD41" i="1" s="1"/>
  <c r="AM41" i="1" s="1"/>
  <c r="AN43" i="1"/>
  <c r="AO43" i="1" s="1"/>
  <c r="AC12" i="1"/>
  <c r="AD12" i="1" s="1"/>
  <c r="AM12" i="1" s="1"/>
  <c r="AL42" i="1" l="1"/>
  <c r="AK43" i="1" s="1"/>
  <c r="AN44" i="1"/>
  <c r="AO44" i="1" s="1"/>
  <c r="AC18" i="1"/>
  <c r="AD18" i="1" s="1"/>
  <c r="AM18" i="1" s="1"/>
  <c r="AC42" i="1"/>
  <c r="AD42" i="1" s="1"/>
  <c r="AM42" i="1" s="1"/>
  <c r="AE22" i="1"/>
  <c r="AP22" i="1" s="1"/>
  <c r="Y13" i="1"/>
  <c r="AE10" i="1"/>
  <c r="AP10" i="1" s="1"/>
  <c r="AE11" i="1"/>
  <c r="AP11" i="1" s="1"/>
  <c r="AE14" i="1"/>
  <c r="AP14" i="1" s="1"/>
  <c r="AE12" i="1"/>
  <c r="AP12" i="1" s="1"/>
  <c r="AE13" i="1"/>
  <c r="AP13" i="1" s="1"/>
  <c r="AE16" i="1"/>
  <c r="AP16" i="1" s="1"/>
  <c r="AE15" i="1"/>
  <c r="AP15" i="1" s="1"/>
  <c r="AE17" i="1"/>
  <c r="AP17" i="1" s="1"/>
  <c r="AL43" i="1" l="1"/>
  <c r="AK44" i="1" s="1"/>
  <c r="AC43" i="1"/>
  <c r="AD43" i="1" s="1"/>
  <c r="AM43" i="1" s="1"/>
  <c r="AE42" i="1"/>
  <c r="AP42" i="1" s="1"/>
  <c r="AE18" i="1"/>
  <c r="AP18" i="1" s="1"/>
  <c r="AN45" i="1"/>
  <c r="AO45" i="1" s="1"/>
  <c r="AE34" i="1"/>
  <c r="AP34" i="1" s="1"/>
  <c r="AE33" i="1"/>
  <c r="AP33" i="1" s="1"/>
  <c r="AE40" i="1"/>
  <c r="AP40" i="1" s="1"/>
  <c r="AE28" i="1"/>
  <c r="AP28" i="1" s="1"/>
  <c r="AE39" i="1"/>
  <c r="AP39" i="1" s="1"/>
  <c r="AE31" i="1"/>
  <c r="AP31" i="1" s="1"/>
  <c r="Y14" i="1"/>
  <c r="AE41" i="1"/>
  <c r="AP41" i="1" s="1"/>
  <c r="AE25" i="1"/>
  <c r="AP25" i="1" s="1"/>
  <c r="AE36" i="1"/>
  <c r="AP36" i="1" s="1"/>
  <c r="AE24" i="1"/>
  <c r="AP24" i="1" s="1"/>
  <c r="AE23" i="1"/>
  <c r="AP23" i="1" s="1"/>
  <c r="AE43" i="1" l="1"/>
  <c r="AP43" i="1" s="1"/>
  <c r="AL44" i="1"/>
  <c r="AK45" i="1" s="1"/>
  <c r="AC44" i="1"/>
  <c r="AD44" i="1" s="1"/>
  <c r="AM44" i="1" s="1"/>
  <c r="AN46" i="1"/>
  <c r="AO46" i="1" s="1"/>
  <c r="AR43" i="1"/>
  <c r="AS43" i="1" s="1"/>
  <c r="AR23" i="1"/>
  <c r="AS23" i="1" s="1"/>
  <c r="AR24" i="1"/>
  <c r="AS24" i="1" s="1"/>
  <c r="AR22" i="1"/>
  <c r="AS22" i="1" s="1"/>
  <c r="AR41" i="1"/>
  <c r="AS41" i="1" s="1"/>
  <c r="AR13" i="1"/>
  <c r="AS13" i="1" s="1"/>
  <c r="AR25" i="1"/>
  <c r="AS25" i="1" s="1"/>
  <c r="AR36" i="1"/>
  <c r="AS36" i="1" s="1"/>
  <c r="AE29" i="1"/>
  <c r="AP29" i="1" s="1"/>
  <c r="AE26" i="1"/>
  <c r="AP26" i="1" s="1"/>
  <c r="AE35" i="1"/>
  <c r="AP35" i="1" s="1"/>
  <c r="AE37" i="1"/>
  <c r="AP37" i="1" s="1"/>
  <c r="AE30" i="1"/>
  <c r="AP30" i="1" s="1"/>
  <c r="AE38" i="1"/>
  <c r="AP38" i="1" s="1"/>
  <c r="AE27" i="1"/>
  <c r="AP27" i="1" s="1"/>
  <c r="AE32" i="1"/>
  <c r="AP32" i="1" s="1"/>
  <c r="Y15" i="1"/>
  <c r="AE44" i="1" l="1"/>
  <c r="AP44" i="1" s="1"/>
  <c r="AL45" i="1"/>
  <c r="AK46" i="1" s="1"/>
  <c r="AC45" i="1"/>
  <c r="AD45" i="1" s="1"/>
  <c r="AM45" i="1" s="1"/>
  <c r="AR17" i="1"/>
  <c r="AS17" i="1" s="1"/>
  <c r="AR15" i="1"/>
  <c r="AS15" i="1" s="1"/>
  <c r="AR11" i="1"/>
  <c r="AS11" i="1" s="1"/>
  <c r="AR16" i="1"/>
  <c r="AS16" i="1" s="1"/>
  <c r="AR29" i="1"/>
  <c r="AS29" i="1" s="1"/>
  <c r="AR32" i="1"/>
  <c r="AS32" i="1" s="1"/>
  <c r="AR38" i="1"/>
  <c r="AS38" i="1" s="1"/>
  <c r="AR35" i="1"/>
  <c r="AS35" i="1" s="1"/>
  <c r="AR30" i="1"/>
  <c r="AS30" i="1" s="1"/>
  <c r="AR37" i="1"/>
  <c r="AS37" i="1" s="1"/>
  <c r="AR27" i="1"/>
  <c r="AS27" i="1" s="1"/>
  <c r="AR26" i="1"/>
  <c r="AS26" i="1" s="1"/>
  <c r="AR14" i="1"/>
  <c r="AS14" i="1" s="1"/>
  <c r="AR44" i="1"/>
  <c r="AS44" i="1" s="1"/>
  <c r="AR39" i="1"/>
  <c r="AS39" i="1" s="1"/>
  <c r="AR31" i="1"/>
  <c r="AS31" i="1" s="1"/>
  <c r="AL46" i="1" l="1"/>
  <c r="AC46" i="1"/>
  <c r="AD46" i="1" s="1"/>
  <c r="AM46" i="1" s="1"/>
  <c r="AE45" i="1"/>
  <c r="AP45" i="1" s="1"/>
  <c r="AR45" i="1" s="1"/>
  <c r="AS45" i="1" s="1"/>
  <c r="AR34" i="1"/>
  <c r="AS34" i="1" s="1"/>
  <c r="AR33" i="1"/>
  <c r="AS33" i="1" s="1"/>
  <c r="AR40" i="1"/>
  <c r="AS40" i="1" s="1"/>
  <c r="AR8" i="1"/>
  <c r="AS8" i="1" s="1"/>
  <c r="AR10" i="1"/>
  <c r="AS10" i="1" s="1"/>
  <c r="AE46" i="1"/>
  <c r="AP46" i="1" s="1"/>
  <c r="AR28" i="1" l="1"/>
  <c r="AS28" i="1" s="1"/>
  <c r="AR12" i="1"/>
  <c r="AS12" i="1" s="1"/>
  <c r="AR18" i="1"/>
  <c r="AS18" i="1" s="1"/>
  <c r="AR42" i="1"/>
  <c r="AS42" i="1" s="1"/>
  <c r="AR46" i="1"/>
  <c r="AS46" i="1" s="1"/>
  <c r="AO5" i="1" l="1"/>
  <c r="AL5" i="1" l="1"/>
  <c r="W16" i="1" l="1"/>
  <c r="X16" i="1" s="1"/>
  <c r="AC9" i="1"/>
  <c r="AD9" i="1" s="1"/>
  <c r="AM9" i="1" s="1"/>
  <c r="W17" i="1" l="1"/>
  <c r="X17" i="1" s="1"/>
  <c r="Y16" i="1"/>
  <c r="AE9" i="1"/>
  <c r="AP9" i="1" s="1"/>
  <c r="W18" i="1" l="1"/>
  <c r="X18" i="1" s="1"/>
  <c r="Y17" i="1"/>
  <c r="AE5" i="1"/>
  <c r="AD5" i="1"/>
  <c r="Y18" i="1" l="1"/>
  <c r="W19" i="1"/>
  <c r="X19" i="1" s="1"/>
  <c r="AR9" i="1"/>
  <c r="AS9" i="1" s="1"/>
  <c r="Y19" i="1" l="1"/>
  <c r="W20" i="1"/>
  <c r="X20" i="1" s="1"/>
  <c r="Y20" i="1" l="1"/>
  <c r="W21" i="1"/>
  <c r="X21" i="1" s="1"/>
  <c r="Y21" i="1" l="1"/>
  <c r="W22" i="1"/>
  <c r="X22" i="1" s="1"/>
  <c r="Y22" i="1" l="1"/>
  <c r="W23" i="1"/>
  <c r="X23" i="1" s="1"/>
  <c r="Y23" i="1" l="1"/>
  <c r="W24" i="1"/>
  <c r="X24" i="1" s="1"/>
  <c r="Y24" i="1" l="1"/>
  <c r="W25" i="1"/>
  <c r="X25" i="1" s="1"/>
  <c r="Y25" i="1" l="1"/>
  <c r="W26" i="1"/>
  <c r="X26" i="1" s="1"/>
  <c r="Y26" i="1" l="1"/>
  <c r="W27" i="1"/>
  <c r="X27" i="1" s="1"/>
  <c r="Y27" i="1" l="1"/>
  <c r="W28" i="1"/>
  <c r="X28" i="1" s="1"/>
  <c r="Y28" i="1" l="1"/>
  <c r="W29" i="1"/>
  <c r="X29" i="1" s="1"/>
  <c r="Y29" i="1" l="1"/>
  <c r="W30" i="1"/>
  <c r="X30" i="1" s="1"/>
  <c r="Y30" i="1" l="1"/>
  <c r="W31" i="1"/>
  <c r="X31" i="1" s="1"/>
  <c r="Y31" i="1" l="1"/>
  <c r="W32" i="1"/>
  <c r="X32" i="1" s="1"/>
  <c r="Y32" i="1" l="1"/>
  <c r="W33" i="1"/>
  <c r="X33" i="1" s="1"/>
  <c r="Y33" i="1" l="1"/>
  <c r="W34" i="1"/>
  <c r="X34" i="1" s="1"/>
  <c r="Y34" i="1" l="1"/>
  <c r="W35" i="1"/>
  <c r="X35" i="1" s="1"/>
  <c r="Y35" i="1" l="1"/>
  <c r="W36" i="1"/>
  <c r="X36" i="1" s="1"/>
  <c r="Y36" i="1" l="1"/>
  <c r="W37" i="1"/>
  <c r="X37" i="1" s="1"/>
  <c r="Y37" i="1" l="1"/>
  <c r="W38" i="1"/>
  <c r="X38" i="1" s="1"/>
  <c r="W39" i="1" l="1"/>
  <c r="X39" i="1" s="1"/>
  <c r="Y38" i="1"/>
  <c r="Y39" i="1" l="1"/>
  <c r="W40" i="1"/>
  <c r="X40" i="1" s="1"/>
  <c r="Y40" i="1" l="1"/>
  <c r="W41" i="1"/>
  <c r="X41" i="1" s="1"/>
  <c r="Y41" i="1" l="1"/>
  <c r="W42" i="1"/>
  <c r="X42" i="1" s="1"/>
  <c r="Y42" i="1" l="1"/>
  <c r="AP5" i="1" s="1"/>
  <c r="W43" i="1"/>
  <c r="X43" i="1" s="1"/>
  <c r="AR7" i="1"/>
  <c r="AS7" i="1" s="1"/>
  <c r="AM5" i="1"/>
  <c r="Y43" i="1" l="1"/>
  <c r="W44" i="1"/>
  <c r="X44" i="1" s="1"/>
  <c r="AR5" i="1"/>
  <c r="I4" i="1" s="1"/>
  <c r="F4" i="1" s="1"/>
  <c r="Y44" i="1" l="1"/>
  <c r="W45" i="1"/>
  <c r="X45" i="1" s="1"/>
  <c r="AS5" i="1"/>
  <c r="AU5" i="1" s="1"/>
  <c r="W46" i="1" l="1"/>
  <c r="X46" i="1" s="1"/>
  <c r="Y45" i="1"/>
  <c r="B24" i="17"/>
  <c r="Y46" i="1" l="1"/>
  <c r="B25" i="17"/>
  <c r="X5" i="1" l="1"/>
  <c r="Y5" i="1" l="1"/>
</calcChain>
</file>

<file path=xl/comments1.xml><?xml version="1.0" encoding="utf-8"?>
<comments xmlns="http://schemas.openxmlformats.org/spreadsheetml/2006/main">
  <authors>
    <author>Schamschula György</author>
    <author>Jaczkó Róbert EXT</author>
    <author>Gyetvainé Horváth Mária</author>
  </authors>
  <commentList>
    <comment ref="G8" authorId="0" shapeId="0">
      <text>
        <r>
          <rPr>
            <sz val="9"/>
            <color indexed="81"/>
            <rFont val="Tahoma"/>
            <family val="2"/>
            <charset val="238"/>
          </rPr>
          <t>Egyéb ágazat esetében adható maximális hitel / támogatástartalom.</t>
        </r>
      </text>
    </comment>
    <comment ref="H8" authorId="1" shapeId="0">
      <text>
        <r>
          <rPr>
            <sz val="9"/>
            <color indexed="81"/>
            <rFont val="Tahoma"/>
            <family val="2"/>
            <charset val="238"/>
          </rPr>
          <t>Mezőgazdasági ágazat estén adható maximális hitel / támogatástartalom.</t>
        </r>
      </text>
    </comment>
    <comment ref="I8" authorId="1" shapeId="0">
      <text>
        <r>
          <rPr>
            <sz val="9"/>
            <color indexed="81"/>
            <rFont val="Tahoma"/>
            <family val="2"/>
            <charset val="238"/>
          </rPr>
          <t>Halászati ágazat esetén  maximális hitel / támogatástartalom.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Az Európai Bizottság által publikált, a döntés időpontjában alkalmazandó referencia alapkamat.</t>
        </r>
      </text>
    </comment>
    <comment ref="B10" authorId="1" shapeId="0">
      <text>
        <r>
          <rPr>
            <sz val="9"/>
            <color indexed="81"/>
            <rFont val="Tahoma"/>
            <family val="2"/>
            <charset val="238"/>
          </rPr>
          <t>nincs: pl.   projektcég (SPV)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>2008/C 14/02 EU közleményben található felármátrix alapján meghatározandó.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A kölcsönök fedezeteként felajánlott biztosítékok mértéke. A fedezettség mértéke magas, ha 70% vagy annál több, általános, ha 41% és 69% közötti, alacsony, ha 40% vagy az alatti mértékű biztosíték áll rendelkezésre a kölcsönök garanciájaként.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(1) Indikatív ajánlati szakaszban az aktuális, MNB által közzétett, két tizedes pontossággal meghatározott árfolyamot lehet használni.
(2) Az Eximbank hiteldöntését követően, a támogatás igazolás kiállításakor a támogatási döntés (Eximbank döntés) napját megelőző hónap utolsó napján érvényes, a MNB által közzétett, két tizedes pontossággal meghatározott devizaárfolyam alkalmazandó. 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>A hitel eximbanki jóváhagyásának feltételezett időpontja</t>
        </r>
      </text>
    </comment>
    <comment ref="B29" authorId="1" shapeId="0">
      <text>
        <r>
          <rPr>
            <sz val="9"/>
            <color indexed="81"/>
            <rFont val="Tahoma"/>
            <family val="2"/>
            <charset val="238"/>
          </rPr>
          <t xml:space="preserve">egyenlő tőke = amortizálódó tőke
egyedi = egyedi tőkefizetés (ld. Segédtábla) </t>
        </r>
      </text>
    </comment>
    <comment ref="B31" authorId="2" shapeId="0">
      <text>
        <r>
          <rPr>
            <sz val="9"/>
            <color indexed="81"/>
            <rFont val="Tahoma"/>
            <family val="2"/>
            <charset val="238"/>
          </rPr>
          <t xml:space="preserve">Ide értendőek a támogatások, amelyeket a C(2020) 1863 COVID Közlemény 3.1 szakasza alapján közvetlen támgoatások, visszafizetendő előlegek vagy adókedvezmény formájában ítéltek meg a kedvezményezett vállalkozás számára és az azonos elszámolható költségekhez kapcsolódó dm jelegű támogatások
</t>
        </r>
      </text>
    </comment>
  </commentList>
</comments>
</file>

<file path=xl/sharedStrings.xml><?xml version="1.0" encoding="utf-8"?>
<sst xmlns="http://schemas.openxmlformats.org/spreadsheetml/2006/main" count="348" uniqueCount="320">
  <si>
    <t>Magas</t>
  </si>
  <si>
    <t>Általános</t>
  </si>
  <si>
    <t>Alacsony</t>
  </si>
  <si>
    <t>Jó</t>
  </si>
  <si>
    <t>Kielégítő</t>
  </si>
  <si>
    <t>Gyenge</t>
  </si>
  <si>
    <t>Rossz</t>
  </si>
  <si>
    <t>Fedezettség</t>
  </si>
  <si>
    <t>Hitelminősítés</t>
  </si>
  <si>
    <t>Tőke</t>
  </si>
  <si>
    <t>Támogatott konstruckió</t>
  </si>
  <si>
    <t>Piaci konstrukció</t>
  </si>
  <si>
    <t>PV</t>
  </si>
  <si>
    <t>Támogatástartalom</t>
  </si>
  <si>
    <t>Periodus</t>
  </si>
  <si>
    <t>Törlesztés</t>
  </si>
  <si>
    <t>Egyenlő tőke</t>
  </si>
  <si>
    <t>Egyedi</t>
  </si>
  <si>
    <t>Törlesztésgyakoriság</t>
  </si>
  <si>
    <t>Havi</t>
  </si>
  <si>
    <t>Negyedéves</t>
  </si>
  <si>
    <t>Féléves</t>
  </si>
  <si>
    <t>Egyenlő összeg</t>
  </si>
  <si>
    <t>Nyugat-Dunántúl</t>
  </si>
  <si>
    <t>Nagyvállalat</t>
  </si>
  <si>
    <t>Közép-Dunántúl</t>
  </si>
  <si>
    <t>Észak-Magyarország</t>
  </si>
  <si>
    <t>Észak-Alföld</t>
  </si>
  <si>
    <t>Dél-Dunántúl</t>
  </si>
  <si>
    <t>Dél-Alföld</t>
  </si>
  <si>
    <t>Beruházási hitel</t>
  </si>
  <si>
    <t>Budapest</t>
  </si>
  <si>
    <t>Select</t>
  </si>
  <si>
    <t>Abony</t>
  </si>
  <si>
    <t>Zebegény</t>
  </si>
  <si>
    <t>Dátum</t>
  </si>
  <si>
    <t>Tőkeamt.</t>
  </si>
  <si>
    <t>Kamatfiz.</t>
  </si>
  <si>
    <t>FV</t>
  </si>
  <si>
    <t>Alsónémedi</t>
  </si>
  <si>
    <t>Bernecebaráti</t>
  </si>
  <si>
    <t>Csemő</t>
  </si>
  <si>
    <t>Dabas</t>
  </si>
  <si>
    <t>Domony</t>
  </si>
  <si>
    <t>Dunaharaszti</t>
  </si>
  <si>
    <t>Ecser</t>
  </si>
  <si>
    <t>Érd</t>
  </si>
  <si>
    <t>Farmos</t>
  </si>
  <si>
    <t>Felsőpakony</t>
  </si>
  <si>
    <t>Gödöllő</t>
  </si>
  <si>
    <t>Gyál</t>
  </si>
  <si>
    <t>Halásztelek</t>
  </si>
  <si>
    <t>Iklad</t>
  </si>
  <si>
    <t>Ipolydamásd</t>
  </si>
  <si>
    <t>Ipolytölgyes</t>
  </si>
  <si>
    <t>Jászkarajenő</t>
  </si>
  <si>
    <t>Kartal</t>
  </si>
  <si>
    <t>Kemence</t>
  </si>
  <si>
    <t>Kiskunlacháza</t>
  </si>
  <si>
    <t>Kisnémedi</t>
  </si>
  <si>
    <t>Kocsér</t>
  </si>
  <si>
    <t>Kóspallag</t>
  </si>
  <si>
    <t>Letkés</t>
  </si>
  <si>
    <t>Lórév</t>
  </si>
  <si>
    <t>Maglód</t>
  </si>
  <si>
    <t>Makád</t>
  </si>
  <si>
    <t>Márianosztra</t>
  </si>
  <si>
    <t>Mikebuda</t>
  </si>
  <si>
    <t>Monor</t>
  </si>
  <si>
    <t>Nagybörzsöny</t>
  </si>
  <si>
    <t>Nagykáta</t>
  </si>
  <si>
    <t>Nagykőrös</t>
  </si>
  <si>
    <t>Nagytarcsa</t>
  </si>
  <si>
    <t>Nyársapát</t>
  </si>
  <si>
    <t>Ócsa</t>
  </si>
  <si>
    <t>Örkény</t>
  </si>
  <si>
    <t>Pécel</t>
  </si>
  <si>
    <t>Perőcsény</t>
  </si>
  <si>
    <t>Péteri</t>
  </si>
  <si>
    <t>Püspökhatvan</t>
  </si>
  <si>
    <t>Püspökszilágy</t>
  </si>
  <si>
    <t>Ráckeve</t>
  </si>
  <si>
    <t>Szentmártonkáta</t>
  </si>
  <si>
    <t>Szigetbecse</t>
  </si>
  <si>
    <t>Szigetszentmiklós</t>
  </si>
  <si>
    <t>Szob</t>
  </si>
  <si>
    <t>Szokolya</t>
  </si>
  <si>
    <t>Táborfalva</t>
  </si>
  <si>
    <t>Tápióbicske</t>
  </si>
  <si>
    <t>Tápiógyörgye</t>
  </si>
  <si>
    <t>Tápióság</t>
  </si>
  <si>
    <t>Tápiószele</t>
  </si>
  <si>
    <t>Tápiószentmárton</t>
  </si>
  <si>
    <t>Tápiószőlős</t>
  </si>
  <si>
    <t>Tatárszentgyörgy</t>
  </si>
  <si>
    <t>Tésa</t>
  </si>
  <si>
    <t>Törtel</t>
  </si>
  <si>
    <t>Tura</t>
  </si>
  <si>
    <t>Újhartyán</t>
  </si>
  <si>
    <t>Újszilvás</t>
  </si>
  <si>
    <t>Üllő</t>
  </si>
  <si>
    <t>Vác</t>
  </si>
  <si>
    <t>Váckisújfalu</t>
  </si>
  <si>
    <t>Valkó</t>
  </si>
  <si>
    <t>Vámosmikola</t>
  </si>
  <si>
    <t>Vecsés</t>
  </si>
  <si>
    <t>Verőce</t>
  </si>
  <si>
    <t>Verseg</t>
  </si>
  <si>
    <t>Áporka</t>
  </si>
  <si>
    <t>Aszód</t>
  </si>
  <si>
    <t>Bag</t>
  </si>
  <si>
    <t>Piliscsaba</t>
  </si>
  <si>
    <t>Pilisjászfalu</t>
  </si>
  <si>
    <t>Pilisvörösvár</t>
  </si>
  <si>
    <t>Solymár</t>
  </si>
  <si>
    <t>Közép_Magyarország</t>
  </si>
  <si>
    <t>Törlesztésiidőszak vége?</t>
  </si>
  <si>
    <t>HUF/EUR árfolyam</t>
  </si>
  <si>
    <t>A Elszámolható költségek</t>
  </si>
  <si>
    <t>B Elszámolható költségek</t>
  </si>
  <si>
    <t>C elszámolható költségek</t>
  </si>
  <si>
    <t>nincs!</t>
  </si>
  <si>
    <t>14-es cikk</t>
  </si>
  <si>
    <t>Hitelösszeg (EUR)</t>
  </si>
  <si>
    <t>Hitelösszeg (HUF)</t>
  </si>
  <si>
    <t>Maximális hitelösszeghez tartozó támogatástartalom (EUR)</t>
  </si>
  <si>
    <t>Referencia alapkamat</t>
  </si>
  <si>
    <t>Tőkeamortizáció egyedi törlesztés esetén</t>
  </si>
  <si>
    <t>Acsa</t>
  </si>
  <si>
    <t>Albertirsa</t>
  </si>
  <si>
    <t>Apaj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</si>
  <si>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</si>
  <si>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</si>
  <si>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</si>
  <si>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</si>
  <si>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</si>
  <si>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</si>
  <si>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</si>
  <si>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Ceglédbercel</t>
  </si>
  <si>
    <t>Csévharaszt</t>
  </si>
  <si>
    <t>Csobánka</t>
  </si>
  <si>
    <t>Csomád</t>
  </si>
  <si>
    <t>Csömör</t>
  </si>
  <si>
    <t>Csörög</t>
  </si>
  <si>
    <t>Csővár</t>
  </si>
  <si>
    <t>Dánszentmiklós</t>
  </si>
  <si>
    <t>Dány</t>
  </si>
  <si>
    <t>Délegyháza</t>
  </si>
  <si>
    <t>Diósd</t>
  </si>
  <si>
    <t>Dömösd</t>
  </si>
  <si>
    <t>Dunabogdány</t>
  </si>
  <si>
    <t>Dunakeszi</t>
  </si>
  <si>
    <t>Dunavarsány</t>
  </si>
  <si>
    <t>Erdőkertes</t>
  </si>
  <si>
    <t>Fót</t>
  </si>
  <si>
    <t>Galagyörk</t>
  </si>
  <si>
    <t>Galahévíz</t>
  </si>
  <si>
    <t>Galamácsa</t>
  </si>
  <si>
    <t>Gomba</t>
  </si>
  <si>
    <t>Göd</t>
  </si>
  <si>
    <t>Gyömörő</t>
  </si>
  <si>
    <t>Herceghalom</t>
  </si>
  <si>
    <t>Hernád</t>
  </si>
  <si>
    <t>Hévizgyörk</t>
  </si>
  <si>
    <t>Inárcs</t>
  </si>
  <si>
    <t>Isaszeg</t>
  </si>
  <si>
    <t>Kakucs</t>
  </si>
  <si>
    <t>Káva</t>
  </si>
  <si>
    <t>Kerepes</t>
  </si>
  <si>
    <t>Kismaros</t>
  </si>
  <si>
    <t>Kisoroszi</t>
  </si>
  <si>
    <t>Kistarcsa</t>
  </si>
  <si>
    <t>Kóka</t>
  </si>
  <si>
    <t>Kosd</t>
  </si>
  <si>
    <t>Kőröstételen</t>
  </si>
  <si>
    <t>Leányfalu</t>
  </si>
  <si>
    <t>Majosháza</t>
  </si>
  <si>
    <t>Mende</t>
  </si>
  <si>
    <t>Mogyoród</t>
  </si>
  <si>
    <t>Nagykovácsi</t>
  </si>
  <si>
    <t>Nagymaros</t>
  </si>
  <si>
    <t>Nyáregyháza</t>
  </si>
  <si>
    <t>Őrbottyán</t>
  </si>
  <si>
    <t>Pánd</t>
  </si>
  <si>
    <t>Páty</t>
  </si>
  <si>
    <t>Penc</t>
  </si>
  <si>
    <t>Perbál</t>
  </si>
  <si>
    <t>Pilis</t>
  </si>
  <si>
    <t>Pilisborosjenő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</si>
  <si>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</si>
  <si>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</si>
  <si>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</si>
  <si>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</si>
  <si>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</si>
  <si>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</si>
  <si>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</si>
  <si>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</si>
  <si>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Rád</t>
  </si>
  <si>
    <t>Remeteszőlős</t>
  </si>
  <si>
    <t>Sóskút</t>
  </si>
  <si>
    <t>Sülysáp</t>
  </si>
  <si>
    <t>Szada</t>
  </si>
  <si>
    <t>Százhalombatta</t>
  </si>
  <si>
    <t>Szentendre</t>
  </si>
  <si>
    <t>Szentlőrinckáta</t>
  </si>
  <si>
    <t>Szigetcsép</t>
  </si>
  <si>
    <t>Szigethalom</t>
  </si>
  <si>
    <t>Szigetmonostor</t>
  </si>
  <si>
    <t>Szigetszentmárton</t>
  </si>
  <si>
    <t>Szigetújfalu</t>
  </si>
  <si>
    <t>Sződ</t>
  </si>
  <si>
    <t>Sződliget</t>
  </si>
  <si>
    <t>Tahitótfalu</t>
  </si>
  <si>
    <t>Taksony</t>
  </si>
  <si>
    <t>Tápiószecső</t>
  </si>
  <si>
    <t>Tárnok</t>
  </si>
  <si>
    <t>Telki</t>
  </si>
  <si>
    <t>Tinnye</t>
  </si>
  <si>
    <t>Tóalmás</t>
  </si>
  <si>
    <t>Tök</t>
  </si>
  <si>
    <t>Tököl</t>
  </si>
  <si>
    <t>Törökbálint</t>
  </si>
  <si>
    <t>Újlengyel</t>
  </si>
  <si>
    <t>Úri</t>
  </si>
  <si>
    <t>Üröm</t>
  </si>
  <si>
    <t>Vácduka</t>
  </si>
  <si>
    <t>Vácegres</t>
  </si>
  <si>
    <t>Váchartyán</t>
  </si>
  <si>
    <t>Vácrátót</t>
  </si>
  <si>
    <t>Vácaszentlászló</t>
  </si>
  <si>
    <t>Vasad</t>
  </si>
  <si>
    <t>Veresegyház</t>
  </si>
  <si>
    <t>Visegrád</t>
  </si>
  <si>
    <t>Zsámbék</t>
  </si>
  <si>
    <t>Zsámbok</t>
  </si>
  <si>
    <t>Felárak</t>
  </si>
  <si>
    <t>Piaci referencia</t>
  </si>
  <si>
    <t>Regionális támogatási intenzitások</t>
  </si>
  <si>
    <t>Kizárók és KO-k</t>
  </si>
  <si>
    <t>Szorzó értéke</t>
  </si>
  <si>
    <t>Halászat/akvakultúra</t>
  </si>
  <si>
    <t>R szorzó értéke</t>
  </si>
  <si>
    <t>Segédszámítások</t>
  </si>
  <si>
    <t>Elszámolható ktg-ek EUR-ban</t>
  </si>
  <si>
    <t>Hitelösszeg</t>
  </si>
  <si>
    <t>R szorzó értéke a támogatási térkép alapján</t>
  </si>
  <si>
    <t>HUF érték</t>
  </si>
  <si>
    <t>Elszámolható ktg-ek HUF-ban</t>
  </si>
  <si>
    <t>17-es cikk</t>
  </si>
  <si>
    <t>Vállalatméret-szorzó</t>
  </si>
  <si>
    <t>Hitel/támogatástartalom arány</t>
  </si>
  <si>
    <t>Támogatástartalom a futamidő alatt</t>
  </si>
  <si>
    <t>Hitelösszeg/támogatástartalom</t>
  </si>
  <si>
    <t>Makrohoz kellenek (ne töröld ki!):</t>
  </si>
  <si>
    <t>Forgóeszközhitel</t>
  </si>
  <si>
    <t>Kiváló</t>
  </si>
  <si>
    <t>Kaphat?</t>
  </si>
  <si>
    <t>Alap intenzitás</t>
  </si>
  <si>
    <t>KKV bónusz</t>
  </si>
  <si>
    <t>Max. TT (EUR)</t>
  </si>
  <si>
    <t>Intenzitás</t>
  </si>
  <si>
    <t>MAX Támogatástartalom (mio EUR)</t>
  </si>
  <si>
    <t>Refin kamatok</t>
  </si>
  <si>
    <t>Min 1</t>
  </si>
  <si>
    <t>Min2</t>
  </si>
  <si>
    <t>Tényleges min</t>
  </si>
  <si>
    <t>Max</t>
  </si>
  <si>
    <t xml:space="preserve"> </t>
  </si>
  <si>
    <t>Egyedi törlesztés dátuma</t>
  </si>
  <si>
    <t>maradék</t>
  </si>
  <si>
    <t>tőke</t>
  </si>
  <si>
    <t>amort</t>
  </si>
  <si>
    <t>kamat</t>
  </si>
  <si>
    <t>dátumtól</t>
  </si>
  <si>
    <t>támogatott</t>
  </si>
  <si>
    <t>t maradék</t>
  </si>
  <si>
    <t>periódusközi kamatszámítás</t>
  </si>
  <si>
    <t>maradék kamatszámítás</t>
  </si>
  <si>
    <t>Egyedi folyósítás dátuma</t>
  </si>
  <si>
    <t>Folyósítás összege</t>
  </si>
  <si>
    <t>Támogatástartalom + egyéb kedvezmények</t>
  </si>
  <si>
    <t>Törlesztés módja</t>
  </si>
  <si>
    <t>Hitel jóváhagyásának várható időpontja (EXIM döntés dátuma)</t>
  </si>
  <si>
    <t>Első törlesztés várható dátuma</t>
  </si>
  <si>
    <t>Lízing</t>
  </si>
  <si>
    <t>Cegléd</t>
  </si>
  <si>
    <t>általános</t>
  </si>
  <si>
    <t>mezőgazdasági</t>
  </si>
  <si>
    <t>halászati</t>
  </si>
  <si>
    <t>Mezőgazdasági</t>
  </si>
  <si>
    <t>Általános szabály</t>
  </si>
  <si>
    <t>Mezőgazdasági szabály</t>
  </si>
  <si>
    <t>Halászati szabály</t>
  </si>
  <si>
    <t>Tényleges ügyleti kamat</t>
  </si>
  <si>
    <t xml:space="preserve">Ügyfél neve: </t>
  </si>
  <si>
    <t xml:space="preserve">Pénzügyi intézmény neve refinanszírozás esetén: </t>
  </si>
  <si>
    <t>PIACI KAMAT MEGHATÁROZÁSA</t>
  </si>
  <si>
    <t>HITELKARAKTERISZTIKA</t>
  </si>
  <si>
    <t>Mezőgazdasági ágazatra megítélt támogatás teljes összege (EUR):</t>
  </si>
  <si>
    <t>Halászati, akvakultúra ágazatra  megítélt támogatás teljes összeg (EUR):</t>
  </si>
  <si>
    <t>Egyéb ágazatra megítélt támogatás tejes összege (EUR):</t>
  </si>
  <si>
    <t>COVID Közlemény 3.1 alapján megítélt támogatásokon felül igénybe vehető szabad keret</t>
  </si>
  <si>
    <t>KKV</t>
  </si>
  <si>
    <t>Az igényelt hitelhez megítélt ugyanazon elszámolható költségekhez kapcsolódó de minimis támogatások összege</t>
  </si>
  <si>
    <t>Az igényelt hitelhez megítélt ugyanazon elszámolható költségekhez kapcsolódó agrár de minimis támogatások összege</t>
  </si>
  <si>
    <t>Az igényelt hitelhez megítélt ugyanazon elszámolható költségekhez kapcsolódó  halászati de minimis támogatások összege</t>
  </si>
  <si>
    <t>Támogatás jogalapja</t>
  </si>
  <si>
    <t>Hitel devizaneme</t>
  </si>
  <si>
    <t>Hitel fajtája/célja</t>
  </si>
  <si>
    <t>Kockázati felár (bázispont)</t>
  </si>
  <si>
    <t>Egyéni referencia kamatláb</t>
  </si>
  <si>
    <t>Van hitelfelvevői múltja vagy mérleg alapú hitelminősítése a hitelfelvevőnek?</t>
  </si>
  <si>
    <t>Van</t>
  </si>
  <si>
    <t>Cégbesorolás</t>
  </si>
  <si>
    <t>Adósminősítés</t>
  </si>
  <si>
    <t>Egyéb</t>
  </si>
  <si>
    <t>COVID Közlemény 3.1 alapján és az azonos elszámolható költségekhez megítélt de minimis típusú állami támogatások</t>
  </si>
  <si>
    <t>HUF</t>
  </si>
  <si>
    <t>Annuitás</t>
  </si>
  <si>
    <t>Vállalat mérete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</si>
</sst>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t_-;\-* #,##0.00\ _F_t_-;_-* &quot;-&quot;??\ _F_t_-;_-@_-"/>
    <numFmt numFmtId="165" formatCode="#\ &quot;periodus&quot;"/>
    <numFmt numFmtId="166" formatCode="#\ &quot;per év&quot;"/>
    <numFmt numFmtId="167" formatCode="#,##0_ ;[Red]\-#,##0\ "/>
    <numFmt numFmtId="168" formatCode="_-* #,##0\ _F_t_-;\-* #,##0\ _F_t_-;_-* &quot;-&quot;??\ _F_t_-;_-@_-"/>
    <numFmt numFmtId="169" formatCode="#,##0_ ;\-#,##0\ "/>
    <numFmt numFmtId="170" formatCode="#0.00\ &quot;év&quot;"/>
    <numFmt numFmtId="171" formatCode="#.00\ &quot;év&quot;"/>
    <numFmt numFmtId="172" formatCode="0.0"/>
    <numFmt numFmtId="173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10" fontId="0" fillId="0" borderId="0" xfId="0" applyNumberFormat="1"/>
    <xf numFmtId="3" fontId="4" fillId="0" borderId="0" xfId="0" applyNumberFormat="1" applyFont="1"/>
    <xf numFmtId="0" fontId="5" fillId="0" borderId="0" xfId="0" applyFont="1" applyAlignment="1">
      <alignment horizontal="left" indent="1"/>
    </xf>
    <xf numFmtId="3" fontId="0" fillId="0" borderId="0" xfId="0" applyNumberFormat="1"/>
    <xf numFmtId="0" fontId="0" fillId="0" borderId="0" xfId="0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/>
    <xf numFmtId="3" fontId="0" fillId="5" borderId="0" xfId="0" applyNumberFormat="1" applyFill="1"/>
    <xf numFmtId="0" fontId="3" fillId="6" borderId="4" xfId="0" applyFont="1" applyFill="1" applyBorder="1"/>
    <xf numFmtId="3" fontId="3" fillId="6" borderId="4" xfId="0" applyNumberFormat="1" applyFont="1" applyFill="1" applyBorder="1"/>
    <xf numFmtId="3" fontId="3" fillId="6" borderId="5" xfId="0" applyNumberFormat="1" applyFont="1" applyFill="1" applyBorder="1"/>
    <xf numFmtId="3" fontId="3" fillId="6" borderId="1" xfId="0" applyNumberFormat="1" applyFont="1" applyFill="1" applyBorder="1"/>
    <xf numFmtId="14" fontId="0" fillId="0" borderId="0" xfId="0" applyNumberFormat="1"/>
    <xf numFmtId="0" fontId="0" fillId="0" borderId="0" xfId="0" applyFill="1" applyAlignment="1">
      <alignment horizontal="righ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3" fontId="0" fillId="5" borderId="0" xfId="0" applyNumberFormat="1" applyFill="1" applyBorder="1"/>
    <xf numFmtId="3" fontId="0" fillId="0" borderId="0" xfId="0" applyNumberFormat="1" applyFill="1"/>
    <xf numFmtId="0" fontId="9" fillId="0" borderId="0" xfId="0" applyFont="1"/>
    <xf numFmtId="0" fontId="0" fillId="7" borderId="0" xfId="0" applyFill="1"/>
    <xf numFmtId="0" fontId="3" fillId="7" borderId="0" xfId="0" applyFont="1" applyFill="1" applyBorder="1" applyAlignment="1">
      <alignment horizontal="center"/>
    </xf>
    <xf numFmtId="3" fontId="0" fillId="7" borderId="0" xfId="0" applyNumberFormat="1" applyFont="1" applyFill="1"/>
    <xf numFmtId="10" fontId="0" fillId="7" borderId="0" xfId="0" applyNumberFormat="1" applyFill="1"/>
    <xf numFmtId="0" fontId="0" fillId="0" borderId="0" xfId="0"/>
    <xf numFmtId="0" fontId="0" fillId="5" borderId="0" xfId="0" applyFill="1"/>
    <xf numFmtId="167" fontId="0" fillId="0" borderId="0" xfId="0" applyNumberFormat="1"/>
    <xf numFmtId="0" fontId="11" fillId="0" borderId="0" xfId="0" applyFont="1"/>
    <xf numFmtId="0" fontId="10" fillId="0" borderId="0" xfId="0" applyFont="1" applyFill="1"/>
    <xf numFmtId="9" fontId="10" fillId="0" borderId="0" xfId="0" applyNumberFormat="1" applyFont="1" applyFill="1"/>
    <xf numFmtId="9" fontId="0" fillId="0" borderId="0" xfId="0" applyNumberFormat="1" applyFill="1"/>
    <xf numFmtId="0" fontId="3" fillId="0" borderId="0" xfId="0" applyFont="1" applyFill="1"/>
    <xf numFmtId="0" fontId="3" fillId="2" borderId="3" xfId="0" applyFont="1" applyFill="1" applyBorder="1"/>
    <xf numFmtId="1" fontId="0" fillId="0" borderId="0" xfId="3" applyNumberFormat="1" applyFont="1" applyFill="1" applyAlignment="1">
      <alignment horizontal="right" vertical="center"/>
    </xf>
    <xf numFmtId="0" fontId="3" fillId="2" borderId="2" xfId="0" applyFont="1" applyFill="1" applyBorder="1"/>
    <xf numFmtId="168" fontId="0" fillId="0" borderId="0" xfId="3" applyNumberFormat="1" applyFont="1"/>
    <xf numFmtId="0" fontId="11" fillId="0" borderId="0" xfId="0" applyFont="1" applyFill="1"/>
    <xf numFmtId="0" fontId="15" fillId="0" borderId="0" xfId="0" applyFont="1" applyAlignment="1"/>
    <xf numFmtId="0" fontId="0" fillId="0" borderId="0" xfId="0" applyAlignment="1">
      <alignment horizontal="center"/>
    </xf>
    <xf numFmtId="0" fontId="10" fillId="2" borderId="0" xfId="0" applyFont="1" applyFill="1"/>
    <xf numFmtId="0" fontId="0" fillId="10" borderId="0" xfId="0" applyFill="1"/>
    <xf numFmtId="0" fontId="0" fillId="0" borderId="9" xfId="0" applyBorder="1"/>
    <xf numFmtId="0" fontId="10" fillId="0" borderId="9" xfId="0" applyFont="1" applyFill="1" applyBorder="1"/>
    <xf numFmtId="0" fontId="0" fillId="0" borderId="9" xfId="0" applyFill="1" applyBorder="1"/>
    <xf numFmtId="0" fontId="0" fillId="0" borderId="0" xfId="0" applyAlignment="1">
      <alignment wrapText="1"/>
    </xf>
    <xf numFmtId="168" fontId="0" fillId="0" borderId="0" xfId="0" applyNumberFormat="1"/>
    <xf numFmtId="0" fontId="10" fillId="6" borderId="0" xfId="0" applyFont="1" applyFill="1"/>
    <xf numFmtId="2" fontId="0" fillId="0" borderId="0" xfId="0" applyNumberFormat="1"/>
    <xf numFmtId="49" fontId="4" fillId="2" borderId="0" xfId="0" applyNumberFormat="1" applyFont="1" applyFill="1"/>
    <xf numFmtId="0" fontId="14" fillId="0" borderId="0" xfId="0" applyFont="1"/>
    <xf numFmtId="9" fontId="0" fillId="0" borderId="15" xfId="1" applyFont="1" applyBorder="1" applyProtection="1">
      <protection locked="0"/>
    </xf>
    <xf numFmtId="0" fontId="10" fillId="0" borderId="0" xfId="0" applyFont="1" applyFill="1" applyBorder="1"/>
    <xf numFmtId="3" fontId="12" fillId="0" borderId="0" xfId="0" applyNumberFormat="1" applyFont="1" applyFill="1" applyBorder="1"/>
    <xf numFmtId="172" fontId="0" fillId="0" borderId="0" xfId="0" applyNumberFormat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3" fontId="4" fillId="0" borderId="0" xfId="1" applyNumberFormat="1" applyFont="1" applyFill="1" applyAlignment="1">
      <alignment horizontal="right"/>
    </xf>
    <xf numFmtId="173" fontId="4" fillId="0" borderId="0" xfId="1" applyNumberFormat="1" applyFont="1"/>
    <xf numFmtId="10" fontId="12" fillId="0" borderId="3" xfId="1" applyNumberFormat="1" applyFont="1" applyBorder="1"/>
    <xf numFmtId="0" fontId="12" fillId="9" borderId="7" xfId="0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4" fontId="0" fillId="5" borderId="0" xfId="0" applyNumberFormat="1" applyFill="1"/>
    <xf numFmtId="14" fontId="12" fillId="9" borderId="7" xfId="0" applyNumberFormat="1" applyFont="1" applyFill="1" applyBorder="1" applyAlignment="1" applyProtection="1">
      <alignment vertical="center"/>
      <protection locked="0"/>
    </xf>
    <xf numFmtId="14" fontId="12" fillId="9" borderId="7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/>
    <xf numFmtId="171" fontId="6" fillId="0" borderId="0" xfId="0" applyNumberFormat="1" applyFont="1" applyFill="1"/>
    <xf numFmtId="10" fontId="12" fillId="2" borderId="3" xfId="1" applyNumberFormat="1" applyFont="1" applyFill="1" applyBorder="1"/>
    <xf numFmtId="14" fontId="0" fillId="0" borderId="0" xfId="0" applyNumberFormat="1" applyFill="1" applyAlignment="1"/>
    <xf numFmtId="0" fontId="0" fillId="0" borderId="0" xfId="0" applyFill="1" applyAlignment="1"/>
    <xf numFmtId="0" fontId="2" fillId="4" borderId="0" xfId="0" applyFont="1" applyFill="1" applyBorder="1" applyAlignment="1">
      <alignment horizontal="center"/>
    </xf>
    <xf numFmtId="2" fontId="12" fillId="9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3" fontId="0" fillId="9" borderId="0" xfId="0" applyNumberFormat="1" applyFill="1" applyProtection="1">
      <protection locked="0"/>
    </xf>
    <xf numFmtId="14" fontId="0" fillId="9" borderId="0" xfId="0" applyNumberFormat="1" applyFill="1" applyProtection="1">
      <protection locked="0"/>
    </xf>
    <xf numFmtId="14" fontId="0" fillId="9" borderId="0" xfId="0" applyNumberFormat="1" applyFill="1" applyAlignment="1" applyProtection="1">
      <alignment horizontal="center"/>
      <protection locked="0"/>
    </xf>
    <xf numFmtId="168" fontId="14" fillId="6" borderId="14" xfId="3" applyNumberFormat="1" applyFont="1" applyFill="1" applyBorder="1"/>
    <xf numFmtId="168" fontId="14" fillId="6" borderId="13" xfId="3" applyNumberFormat="1" applyFont="1" applyFill="1" applyBorder="1"/>
    <xf numFmtId="168" fontId="14" fillId="0" borderId="0" xfId="3" applyNumberFormat="1" applyFont="1"/>
    <xf numFmtId="0" fontId="10" fillId="0" borderId="0" xfId="0" applyFont="1"/>
    <xf numFmtId="0" fontId="0" fillId="5" borderId="10" xfId="0" applyFill="1" applyBorder="1"/>
    <xf numFmtId="169" fontId="0" fillId="5" borderId="1" xfId="3" applyNumberFormat="1" applyFont="1" applyFill="1" applyBorder="1" applyAlignment="1">
      <alignment horizontal="right"/>
    </xf>
    <xf numFmtId="169" fontId="1" fillId="5" borderId="1" xfId="3" applyNumberFormat="1" applyFont="1" applyFill="1" applyBorder="1" applyAlignment="1">
      <alignment horizontal="right"/>
    </xf>
    <xf numFmtId="169" fontId="0" fillId="5" borderId="8" xfId="3" applyNumberFormat="1" applyFont="1" applyFill="1" applyBorder="1" applyAlignment="1">
      <alignment horizontal="right"/>
    </xf>
    <xf numFmtId="168" fontId="0" fillId="9" borderId="7" xfId="0" applyNumberFormat="1" applyFill="1" applyBorder="1" applyProtection="1">
      <protection locked="0"/>
    </xf>
    <xf numFmtId="3" fontId="3" fillId="0" borderId="13" xfId="0" applyNumberFormat="1" applyFont="1" applyBorder="1"/>
    <xf numFmtId="10" fontId="0" fillId="0" borderId="15" xfId="1" applyNumberFormat="1" applyFont="1" applyBorder="1"/>
    <xf numFmtId="10" fontId="0" fillId="0" borderId="14" xfId="1" applyNumberFormat="1" applyFont="1" applyBorder="1"/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left" indent="1"/>
    </xf>
    <xf numFmtId="3" fontId="16" fillId="11" borderId="17" xfId="0" applyNumberFormat="1" applyFont="1" applyFill="1" applyBorder="1"/>
    <xf numFmtId="0" fontId="8" fillId="0" borderId="2" xfId="2" applyBorder="1"/>
    <xf numFmtId="3" fontId="12" fillId="0" borderId="3" xfId="0" applyNumberFormat="1" applyFont="1" applyBorder="1"/>
    <xf numFmtId="0" fontId="3" fillId="2" borderId="2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0" fontId="17" fillId="0" borderId="7" xfId="1" applyNumberFormat="1" applyFont="1" applyFill="1" applyBorder="1" applyProtection="1"/>
    <xf numFmtId="0" fontId="12" fillId="9" borderId="7" xfId="0" applyFont="1" applyFill="1" applyBorder="1" applyAlignment="1" applyProtection="1">
      <alignment horizontal="center"/>
      <protection locked="0"/>
    </xf>
    <xf numFmtId="3" fontId="0" fillId="5" borderId="0" xfId="0" applyNumberFormat="1" applyFill="1" applyProtection="1"/>
    <xf numFmtId="0" fontId="10" fillId="0" borderId="9" xfId="0" applyFont="1" applyFill="1" applyBorder="1" applyAlignment="1">
      <alignment horizontal="left"/>
    </xf>
    <xf numFmtId="0" fontId="3" fillId="9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9" xfId="0" applyFont="1" applyBorder="1"/>
    <xf numFmtId="0" fontId="12" fillId="0" borderId="7" xfId="0" applyFont="1" applyBorder="1"/>
    <xf numFmtId="0" fontId="21" fillId="0" borderId="9" xfId="0" applyFont="1" applyBorder="1" applyAlignment="1">
      <alignment horizontal="left" indent="1"/>
    </xf>
    <xf numFmtId="0" fontId="17" fillId="9" borderId="7" xfId="0" applyFont="1" applyFill="1" applyBorder="1" applyAlignment="1" applyProtection="1">
      <alignment horizontal="right"/>
      <protection locked="0"/>
    </xf>
    <xf numFmtId="10" fontId="12" fillId="9" borderId="3" xfId="0" applyNumberFormat="1" applyFont="1" applyFill="1" applyBorder="1" applyProtection="1">
      <protection locked="0"/>
    </xf>
    <xf numFmtId="0" fontId="20" fillId="0" borderId="10" xfId="0" applyFont="1" applyFill="1" applyBorder="1" applyAlignment="1">
      <alignment horizontal="left" indent="1"/>
    </xf>
    <xf numFmtId="168" fontId="0" fillId="9" borderId="8" xfId="0" applyNumberFormat="1" applyFill="1" applyBorder="1" applyProtection="1">
      <protection locked="0"/>
    </xf>
    <xf numFmtId="0" fontId="3" fillId="9" borderId="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</xf>
    <xf numFmtId="3" fontId="16" fillId="11" borderId="28" xfId="0" applyNumberFormat="1" applyFont="1" applyFill="1" applyBorder="1"/>
    <xf numFmtId="3" fontId="16" fillId="11" borderId="16" xfId="0" applyNumberFormat="1" applyFont="1" applyFill="1" applyBorder="1"/>
    <xf numFmtId="0" fontId="2" fillId="12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left"/>
    </xf>
    <xf numFmtId="0" fontId="16" fillId="11" borderId="19" xfId="0" applyFont="1" applyFill="1" applyBorder="1" applyAlignment="1">
      <alignment horizontal="left"/>
    </xf>
    <xf numFmtId="0" fontId="16" fillId="11" borderId="20" xfId="0" applyFont="1" applyFill="1" applyBorder="1" applyAlignment="1">
      <alignment horizontal="left"/>
    </xf>
    <xf numFmtId="0" fontId="16" fillId="11" borderId="21" xfId="0" applyFont="1" applyFill="1" applyBorder="1" applyAlignment="1">
      <alignment horizontal="left"/>
    </xf>
    <xf numFmtId="0" fontId="16" fillId="11" borderId="4" xfId="0" applyFont="1" applyFill="1" applyBorder="1" applyAlignment="1">
      <alignment horizontal="left"/>
    </xf>
    <xf numFmtId="0" fontId="16" fillId="11" borderId="3" xfId="0" applyFont="1" applyFill="1" applyBorder="1" applyAlignment="1">
      <alignment horizontal="left"/>
    </xf>
    <xf numFmtId="0" fontId="16" fillId="11" borderId="22" xfId="0" applyFont="1" applyFill="1" applyBorder="1" applyAlignment="1">
      <alignment horizontal="left"/>
    </xf>
    <xf numFmtId="0" fontId="16" fillId="11" borderId="23" xfId="0" applyFont="1" applyFill="1" applyBorder="1" applyAlignment="1">
      <alignment horizontal="left"/>
    </xf>
    <xf numFmtId="0" fontId="16" fillId="11" borderId="24" xfId="0" applyFont="1" applyFill="1" applyBorder="1" applyAlignment="1">
      <alignment horizontal="left"/>
    </xf>
    <xf numFmtId="14" fontId="18" fillId="0" borderId="0" xfId="0" applyNumberFormat="1" applyFont="1" applyAlignment="1">
      <alignment horizontal="center" wrapText="1"/>
    </xf>
    <xf numFmtId="0" fontId="0" fillId="9" borderId="2" xfId="0" applyFill="1" applyBorder="1" applyAlignment="1" applyProtection="1">
      <alignment horizontal="left"/>
      <protection locked="0"/>
    </xf>
    <xf numFmtId="0" fontId="0" fillId="9" borderId="3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3" fillId="2" borderId="0" xfId="0" applyFont="1" applyFill="1" applyAlignment="1">
      <alignment horizontal="center"/>
    </xf>
    <xf numFmtId="0" fontId="0" fillId="8" borderId="0" xfId="0" applyFill="1" applyAlignment="1">
      <alignment horizontal="center" wrapText="1"/>
    </xf>
    <xf numFmtId="0" fontId="0" fillId="6" borderId="7" xfId="0" applyFill="1" applyBorder="1" applyAlignment="1">
      <alignment horizontal="center"/>
    </xf>
  </cellXfs>
  <cellStyles count="4">
    <cellStyle name="Ezres" xfId="3" builtinId="3"/>
    <cellStyle name="Hivatkozás" xfId="2" builtinId="8"/>
    <cellStyle name="Normál" xfId="0" builtinId="0"/>
    <cellStyle name="Százalék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E31DB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19049</xdr:rowOff>
    </xdr:from>
    <xdr:to>
      <xdr:col>18</xdr:col>
      <xdr:colOff>66675</xdr:colOff>
      <xdr:row>22</xdr:row>
      <xdr:rowOff>84666</xdr:rowOff>
    </xdr:to>
    <xdr:sp macro="" textlink="">
      <xdr:nvSpPr>
        <xdr:cNvPr id="2" name="TextBox 1"/>
        <xdr:cNvSpPr txBox="1"/>
      </xdr:nvSpPr>
      <xdr:spPr>
        <a:xfrm>
          <a:off x="1369836" y="936271"/>
          <a:ext cx="10253839" cy="318417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Kérjük, figyelmesen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olvassa el az alábbiakat!</a:t>
          </a:r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kalkulátorban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csak a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narancssárga</a:t>
          </a:r>
          <a:r>
            <a:rPr lang="hu-HU" sz="14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hátterű cellákat kell kitölteni. A fehér és kék hátterűek maguktól számolódnak, ezeket nem szabad módosítani (védett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cellák)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hu-HU" sz="1400"/>
            <a:t>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Az ügylethez kapcsolódó adatok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C9-C37-as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cellák, beleértve a hitel és a hitelfelvevőre vonatkozó sajátosságok kiválasztását is) kitöltésével automatikusan számolódnak a különböző állami támogatási jogcímen nyújtható maximális hitelösszegek. Az eredményt az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I3-I5-ös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és a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G10-I10-es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cellák mutatják. 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Felhívjuk a szíves figyelmet, hogy a kalkulátor kizárólag a támogatástartalom számításának segítségét szolgálja. Mindenképpen szükséges a kapcsolódó termékleírások, jogszabályok és segédletek megismerése.</a:t>
          </a:r>
          <a:r>
            <a:rPr lang="hu-HU" sz="1400"/>
            <a:t> </a:t>
          </a:r>
        </a:p>
        <a:p>
          <a:pPr algn="r"/>
          <a:r>
            <a:rPr lang="hu-HU" sz="1100"/>
            <a:t>2021.03.01.</a:t>
          </a:r>
        </a:p>
        <a:p>
          <a:pPr algn="r"/>
          <a:r>
            <a:rPr lang="hu-HU" sz="1100"/>
            <a:t>Eximbank</a:t>
          </a:r>
          <a:r>
            <a:rPr lang="hu-HU" sz="1100" baseline="0"/>
            <a:t> - Termékfejlesztés</a:t>
          </a:r>
        </a:p>
        <a:p>
          <a:pPr algn="r"/>
          <a:r>
            <a:rPr lang="hu-HU" sz="1100" baseline="0"/>
            <a:t>Kalkulátor verzió: 1.0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im.local\DFS\Users\heisslerg\Desktop\Work\eximhu\archive\M&#225;solat%20eredetijeT&#225;mogat&#225;startalom-sz&#225;m&#237;t&#225;s-Refinansz&#237;roz&#225;s-1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mogatástartalom"/>
      <sheetName val="Számítások"/>
      <sheetName val="Adatok"/>
      <sheetName val="Előlap"/>
    </sheetNames>
    <sheetDataSet>
      <sheetData sheetId="0">
        <row r="2">
          <cell r="C2">
            <v>310</v>
          </cell>
        </row>
        <row r="4">
          <cell r="C4">
            <v>9.1000000000000004E-3</v>
          </cell>
        </row>
        <row r="9">
          <cell r="C9">
            <v>7.4099999999999999E-2</v>
          </cell>
          <cell r="G9">
            <v>290322.58064516127</v>
          </cell>
        </row>
        <row r="12">
          <cell r="G12">
            <v>64516.129032258061</v>
          </cell>
        </row>
        <row r="16">
          <cell r="C16">
            <v>0.04</v>
          </cell>
        </row>
        <row r="17">
          <cell r="C17" t="str">
            <v>Egyenlő tőke</v>
          </cell>
        </row>
        <row r="30">
          <cell r="C30" t="str">
            <v>Nem</v>
          </cell>
        </row>
        <row r="43">
          <cell r="C43" t="str">
            <v>Nem</v>
          </cell>
        </row>
      </sheetData>
      <sheetData sheetId="1"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0</v>
          </cell>
        </row>
        <row r="10">
          <cell r="B10">
            <v>645161.29032258061</v>
          </cell>
        </row>
        <row r="25">
          <cell r="B25">
            <v>3000000</v>
          </cell>
        </row>
        <row r="27">
          <cell r="B27">
            <v>0.1</v>
          </cell>
        </row>
        <row r="29">
          <cell r="B29">
            <v>200000000</v>
          </cell>
        </row>
        <row r="36">
          <cell r="B36">
            <v>16.511581275183335</v>
          </cell>
        </row>
      </sheetData>
      <sheetData sheetId="2">
        <row r="2">
          <cell r="S2" t="str">
            <v>Select</v>
          </cell>
        </row>
        <row r="3">
          <cell r="P3" t="str">
            <v>Havi</v>
          </cell>
          <cell r="S3" t="str">
            <v>Beruházási hitel</v>
          </cell>
        </row>
        <row r="4">
          <cell r="M4" t="str">
            <v>Egyenlő tőke</v>
          </cell>
          <cell r="P4" t="str">
            <v>Negyedéves</v>
          </cell>
          <cell r="S4" t="str">
            <v>Forgóeszközhitel</v>
          </cell>
        </row>
        <row r="5">
          <cell r="M5" t="str">
            <v>Egyedi</v>
          </cell>
          <cell r="P5" t="str">
            <v>Féléves</v>
          </cell>
          <cell r="S5" t="str">
            <v>Befektetési hitel</v>
          </cell>
        </row>
        <row r="6">
          <cell r="K6">
            <v>1E-3</v>
          </cell>
          <cell r="P6" t="str">
            <v>Éves</v>
          </cell>
        </row>
        <row r="7">
          <cell r="K7">
            <v>4.1000000000000002E-2</v>
          </cell>
        </row>
        <row r="12">
          <cell r="A12" t="str">
            <v>Select</v>
          </cell>
        </row>
        <row r="13">
          <cell r="A13" t="str">
            <v>Dél-Alföld</v>
          </cell>
        </row>
        <row r="14">
          <cell r="A14" t="str">
            <v>Dél-Dunántúl</v>
          </cell>
        </row>
        <row r="15">
          <cell r="A15" t="str">
            <v>Észak-Alföld</v>
          </cell>
        </row>
        <row r="16">
          <cell r="A16" t="str">
            <v>Észak-Magyarország</v>
          </cell>
        </row>
        <row r="17">
          <cell r="A17" t="str">
            <v>Közép-Dunántúl</v>
          </cell>
        </row>
        <row r="18">
          <cell r="A18" t="str">
            <v>Közép_Magyarország</v>
          </cell>
        </row>
        <row r="19">
          <cell r="A19" t="str">
            <v>Nyugat-Dunántúl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competition/state_aid/legislation/reference_rates.html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"/>
  <sheetViews>
    <sheetView showGridLines="0" zoomScale="90" zoomScaleNormal="90" workbookViewId="0"/>
  </sheetViews>
  <sheetFormatPr defaultColWidth="9.140625" defaultRowHeight="15" x14ac:dyDescent="0.25"/>
  <cols>
    <col min="1" max="16384" width="9.140625" style="34"/>
  </cols>
  <sheetData/>
  <sheetProtection algorithmName="SHA-512" hashValue="aAeUsT/dcPGFvRN590lfx+0AkCujcUjKeCP4vdJYX2zqN4UzVOfoLEfMYFDIEBaFDUzUdIRZRWWlBNSeX281HA==" saltValue="K/hhke/goFByuy/09nhxQ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AV572"/>
  <sheetViews>
    <sheetView showGridLines="0" tabSelected="1" zoomScale="90" zoomScaleNormal="90" workbookViewId="0">
      <selection activeCell="C32" sqref="C32"/>
    </sheetView>
  </sheetViews>
  <sheetFormatPr defaultRowHeight="15" outlineLevelCol="1" x14ac:dyDescent="0.25"/>
  <cols>
    <col min="1" max="1" width="5.7109375" style="34" customWidth="1"/>
    <col min="2" max="2" width="105.28515625" customWidth="1"/>
    <col min="3" max="3" width="20" customWidth="1"/>
    <col min="4" max="4" width="30.5703125" hidden="1" customWidth="1"/>
    <col min="5" max="5" width="4.85546875" style="59" customWidth="1"/>
    <col min="6" max="6" width="55.28515625" customWidth="1"/>
    <col min="7" max="7" width="23.42578125" customWidth="1"/>
    <col min="8" max="8" width="23.42578125" style="34" customWidth="1"/>
    <col min="9" max="9" width="16.28515625" style="34" customWidth="1"/>
    <col min="10" max="10" width="21.7109375" hidden="1" customWidth="1"/>
    <col min="11" max="11" width="5.7109375" style="34" customWidth="1"/>
    <col min="12" max="12" width="15.42578125" style="20" customWidth="1"/>
    <col min="13" max="13" width="14.85546875" style="9" customWidth="1"/>
    <col min="14" max="14" width="11.7109375" style="20" hidden="1" customWidth="1" outlineLevel="1"/>
    <col min="15" max="15" width="13.7109375" style="9" hidden="1" customWidth="1" outlineLevel="1"/>
    <col min="16" max="16" width="14.5703125" hidden="1" customWidth="1" outlineLevel="1"/>
    <col min="17" max="17" width="14.140625" style="9" hidden="1" customWidth="1" outlineLevel="1"/>
    <col min="18" max="18" width="5.28515625" style="24" hidden="1" customWidth="1" outlineLevel="1"/>
    <col min="19" max="19" width="5.5703125" style="34" customWidth="1" collapsed="1"/>
    <col min="20" max="20" width="17.5703125" customWidth="1"/>
    <col min="21" max="21" width="20.7109375" customWidth="1"/>
    <col min="22" max="22" width="10.42578125" style="20" hidden="1" customWidth="1" outlineLevel="1"/>
    <col min="23" max="23" width="12.7109375" hidden="1" customWidth="1" outlineLevel="1"/>
    <col min="24" max="25" width="11.140625" style="9" hidden="1" customWidth="1" outlineLevel="1"/>
    <col min="26" max="26" width="4.5703125" style="9" hidden="1" customWidth="1" outlineLevel="1"/>
    <col min="27" max="27" width="10.85546875" hidden="1" customWidth="1" outlineLevel="1"/>
    <col min="28" max="28" width="11.28515625" hidden="1" customWidth="1" outlineLevel="1"/>
    <col min="29" max="29" width="11.85546875" hidden="1" customWidth="1" outlineLevel="1"/>
    <col min="30" max="30" width="12.85546875" style="9" hidden="1" customWidth="1" outlineLevel="1"/>
    <col min="31" max="31" width="12.5703125" style="9" hidden="1" customWidth="1" outlineLevel="1"/>
    <col min="32" max="32" width="5.140625" hidden="1" customWidth="1" outlineLevel="1"/>
    <col min="33" max="33" width="5.7109375" customWidth="1" collapsed="1"/>
    <col min="34" max="34" width="2.85546875" hidden="1" customWidth="1"/>
    <col min="35" max="35" width="8.42578125" hidden="1" customWidth="1" outlineLevel="1"/>
    <col min="36" max="36" width="11.5703125" hidden="1" customWidth="1" outlineLevel="1"/>
    <col min="37" max="37" width="18.5703125" hidden="1" customWidth="1" outlineLevel="1"/>
    <col min="38" max="38" width="19.28515625" hidden="1" customWidth="1" outlineLevel="1"/>
    <col min="39" max="39" width="17.28515625" hidden="1" customWidth="1" outlineLevel="1"/>
    <col min="40" max="40" width="18.5703125" hidden="1" customWidth="1" outlineLevel="1"/>
    <col min="41" max="41" width="19.28515625" hidden="1" customWidth="1" outlineLevel="1"/>
    <col min="42" max="42" width="17.28515625" hidden="1" customWidth="1" outlineLevel="1"/>
    <col min="43" max="43" width="5.7109375" customWidth="1" collapsed="1"/>
    <col min="44" max="45" width="14.85546875" hidden="1" customWidth="1" outlineLevel="1"/>
    <col min="46" max="46" width="4.5703125" hidden="1" customWidth="1" outlineLevel="1"/>
    <col min="47" max="47" width="19.85546875" hidden="1" customWidth="1" outlineLevel="1"/>
    <col min="48" max="48" width="9.140625" collapsed="1"/>
  </cols>
  <sheetData>
    <row r="1" spans="1:47" x14ac:dyDescent="0.25">
      <c r="L1" s="150" t="str">
        <f>IF(SUM(M7:M46)&lt;C22,"A folyósítások összege kevesebb, mint a hitelösszeg","A folyósítások összege több, mint a hitelösszeg")</f>
        <v>A folyósítások összege kevesebb, mint a hitelösszeg</v>
      </c>
      <c r="M1" s="150"/>
      <c r="P1" s="4"/>
      <c r="T1" s="150" t="str">
        <f>IF(SUM(U7:U46)&lt;C22,"A törlesztések összege kevesebb, mint a hitelösszeg","A törlesztések összege több, mint a hitelösszeg")</f>
        <v>A törlesztések összege kevesebb, mint a hitelösszeg</v>
      </c>
      <c r="U1" s="150"/>
      <c r="X1" s="28"/>
      <c r="AD1" s="28"/>
      <c r="AM1" s="4"/>
    </row>
    <row r="2" spans="1:47" ht="15" customHeight="1" thickBot="1" x14ac:dyDescent="0.3">
      <c r="D2" s="57"/>
      <c r="F2" s="41"/>
      <c r="G2" s="43"/>
      <c r="H2" s="43"/>
      <c r="I2" s="43"/>
      <c r="L2" s="150"/>
      <c r="M2" s="150"/>
      <c r="N2" s="80"/>
      <c r="O2" s="80"/>
      <c r="P2" s="80"/>
      <c r="Q2" s="80"/>
      <c r="S2" s="4"/>
      <c r="T2" s="150"/>
      <c r="U2" s="150"/>
      <c r="V2" s="81"/>
      <c r="W2" s="81"/>
      <c r="X2" s="81"/>
      <c r="Y2" s="81"/>
      <c r="AA2" s="81"/>
      <c r="AB2" s="81"/>
      <c r="AC2" s="81"/>
      <c r="AD2" s="81"/>
      <c r="AE2" s="81"/>
    </row>
    <row r="3" spans="1:47" ht="17.25" customHeight="1" thickTop="1" x14ac:dyDescent="0.25">
      <c r="B3" s="44" t="s">
        <v>294</v>
      </c>
      <c r="C3" s="79"/>
      <c r="F3" s="141" t="s">
        <v>123</v>
      </c>
      <c r="G3" s="142"/>
      <c r="H3" s="143"/>
      <c r="I3" s="131">
        <f>IF(C21="HUF",C22/C23,C22)</f>
        <v>322580.6451612903</v>
      </c>
      <c r="J3" s="30"/>
      <c r="K3" s="30"/>
      <c r="L3" s="134" t="s">
        <v>278</v>
      </c>
      <c r="M3" s="134" t="s">
        <v>279</v>
      </c>
      <c r="S3" s="72"/>
      <c r="T3" s="134" t="s">
        <v>268</v>
      </c>
      <c r="U3" s="134" t="s">
        <v>127</v>
      </c>
      <c r="V3" s="138" t="s">
        <v>276</v>
      </c>
      <c r="W3" s="138"/>
      <c r="X3" s="138"/>
      <c r="Y3" s="138"/>
      <c r="AA3" s="139" t="s">
        <v>277</v>
      </c>
      <c r="AB3" s="139"/>
      <c r="AC3" s="139"/>
      <c r="AD3" s="139"/>
      <c r="AE3" s="139"/>
      <c r="AF3" s="20"/>
      <c r="AI3" s="1"/>
      <c r="AJ3" s="1"/>
      <c r="AK3" s="140" t="s">
        <v>11</v>
      </c>
      <c r="AL3" s="140"/>
      <c r="AM3" s="140"/>
      <c r="AN3" s="137" t="s">
        <v>10</v>
      </c>
      <c r="AO3" s="137"/>
      <c r="AP3" s="137"/>
      <c r="AR3" s="136" t="s">
        <v>13</v>
      </c>
      <c r="AS3" s="136"/>
      <c r="AU3" s="132" t="s">
        <v>280</v>
      </c>
    </row>
    <row r="4" spans="1:47" ht="15.75" customHeight="1" x14ac:dyDescent="0.25">
      <c r="B4" s="151"/>
      <c r="C4" s="152"/>
      <c r="D4" s="10">
        <v>-0.04</v>
      </c>
      <c r="E4" s="133"/>
      <c r="F4" s="144" t="str">
        <f ca="1">IF(tenylegestt=0,"Az ügylet nem finanszírozható","Ténylegesen felvett hitel támogatástartalma (EUR)")</f>
        <v>Ténylegesen felvett hitel támogatástartalma (EUR)</v>
      </c>
      <c r="G4" s="145"/>
      <c r="H4" s="146"/>
      <c r="I4" s="130">
        <f ca="1">IF(C21="HUF",AR5/C23,AR5)</f>
        <v>679.62881131241932</v>
      </c>
      <c r="J4" s="31"/>
      <c r="K4" s="31"/>
      <c r="L4" s="135"/>
      <c r="M4" s="135"/>
      <c r="P4" s="9" t="s">
        <v>272</v>
      </c>
      <c r="Q4" s="9" t="s">
        <v>274</v>
      </c>
      <c r="S4" s="4"/>
      <c r="T4" s="135"/>
      <c r="U4" s="135"/>
      <c r="V4" s="20" t="s">
        <v>273</v>
      </c>
      <c r="W4" t="s">
        <v>270</v>
      </c>
      <c r="X4" s="9" t="s">
        <v>272</v>
      </c>
      <c r="Y4" s="9" t="s">
        <v>274</v>
      </c>
      <c r="AA4" t="s">
        <v>273</v>
      </c>
      <c r="AB4" t="s">
        <v>271</v>
      </c>
      <c r="AC4" t="s">
        <v>270</v>
      </c>
      <c r="AD4" s="9" t="s">
        <v>269</v>
      </c>
      <c r="AE4" s="9" t="s">
        <v>275</v>
      </c>
      <c r="AI4" s="13" t="s">
        <v>14</v>
      </c>
      <c r="AJ4" s="13" t="s">
        <v>35</v>
      </c>
      <c r="AK4" s="11" t="s">
        <v>9</v>
      </c>
      <c r="AL4" s="11" t="s">
        <v>36</v>
      </c>
      <c r="AM4" s="11" t="s">
        <v>37</v>
      </c>
      <c r="AN4" s="12" t="s">
        <v>9</v>
      </c>
      <c r="AO4" s="12" t="s">
        <v>36</v>
      </c>
      <c r="AP4" s="12" t="s">
        <v>37</v>
      </c>
      <c r="AR4" s="82" t="s">
        <v>38</v>
      </c>
      <c r="AS4" s="82" t="s">
        <v>12</v>
      </c>
      <c r="AU4" s="132"/>
    </row>
    <row r="5" spans="1:47" ht="16.5" thickBot="1" x14ac:dyDescent="0.3">
      <c r="B5" s="44" t="s">
        <v>295</v>
      </c>
      <c r="C5" s="79"/>
      <c r="D5" s="24"/>
      <c r="E5" s="133"/>
      <c r="F5" s="147" t="s">
        <v>124</v>
      </c>
      <c r="G5" s="148"/>
      <c r="H5" s="149"/>
      <c r="I5" s="111">
        <f>I3*C23</f>
        <v>100000000</v>
      </c>
      <c r="J5" s="30"/>
      <c r="K5" s="30"/>
      <c r="L5" s="16"/>
      <c r="M5" s="16"/>
      <c r="P5" s="17">
        <f ca="1">SUM(P7:P46)</f>
        <v>-1486301.3698630137</v>
      </c>
      <c r="Q5" s="17">
        <f>SUM(Q7:Q46)</f>
        <v>-1438356.1643835616</v>
      </c>
      <c r="S5" s="73"/>
      <c r="T5" s="16"/>
      <c r="U5" s="16"/>
      <c r="X5" s="17">
        <f ca="1">SUM(X7:X46)</f>
        <v>0</v>
      </c>
      <c r="Y5" s="17">
        <f>SUM(Y7:Y46)</f>
        <v>0</v>
      </c>
      <c r="AD5" s="17">
        <f ca="1">SUM(AD7:AD46)</f>
        <v>-6531232.8767123297</v>
      </c>
      <c r="AE5" s="17">
        <f>SUM(AE7:AE46)</f>
        <v>-6320547.9452054771</v>
      </c>
      <c r="AI5" s="16"/>
      <c r="AJ5" s="16"/>
      <c r="AK5" s="17">
        <f>+AK7</f>
        <v>100000000</v>
      </c>
      <c r="AL5" s="17">
        <f>SUM(AL7:AL46)</f>
        <v>0</v>
      </c>
      <c r="AM5" s="17">
        <f ca="1">SUM(AM7:AM46)</f>
        <v>-6531232.8767123297</v>
      </c>
      <c r="AN5" s="18">
        <f>+AN7</f>
        <v>100000000</v>
      </c>
      <c r="AO5" s="17">
        <f>SUM(AO7:AO46)</f>
        <v>0</v>
      </c>
      <c r="AP5" s="17">
        <f>SUM(AP7:AP46)</f>
        <v>-6320547.9452054771</v>
      </c>
      <c r="AR5" s="19">
        <f ca="1">SUM(AR7:AR46)</f>
        <v>210684.93150685</v>
      </c>
      <c r="AS5" s="19">
        <f ca="1">SUM(AS7:AS46)</f>
        <v>202261.40430535728</v>
      </c>
      <c r="AU5" s="19">
        <f ca="1">AS5</f>
        <v>202261.40430535728</v>
      </c>
    </row>
    <row r="6" spans="1:47" ht="15.75" thickTop="1" x14ac:dyDescent="0.25">
      <c r="B6" s="151"/>
      <c r="C6" s="152"/>
      <c r="J6" s="32" t="s">
        <v>116</v>
      </c>
      <c r="K6" s="32"/>
      <c r="T6" s="71"/>
      <c r="U6" s="34"/>
      <c r="AI6" s="48">
        <v>0</v>
      </c>
      <c r="AJ6" s="71">
        <f>MAX(C25,MIN(L7:L46))</f>
        <v>43981</v>
      </c>
    </row>
    <row r="7" spans="1:47" ht="15.75" x14ac:dyDescent="0.25">
      <c r="D7" s="8"/>
      <c r="F7" s="153" t="s">
        <v>301</v>
      </c>
      <c r="G7" s="154"/>
      <c r="H7" s="154"/>
      <c r="I7" s="155"/>
      <c r="J7" s="33" t="b">
        <f>AI7&gt;$D$15</f>
        <v>0</v>
      </c>
      <c r="K7" s="33"/>
      <c r="L7" s="87"/>
      <c r="M7" s="86"/>
      <c r="N7" s="20">
        <f>C25</f>
        <v>43981</v>
      </c>
      <c r="O7" s="9">
        <f>IF(ISBLANK(L7),C22,0)</f>
        <v>100000000</v>
      </c>
      <c r="P7" s="9">
        <f t="shared" ref="P7:P46" ca="1" si="0">IF(AND(ISBLANK(L6),AH7&lt;&gt;1),0,IFERROR(-O7*piacikamat/365*(IF(ISBLANK(L7),$C$26,L7)-N7),""))</f>
        <v>-1486301.3698630137</v>
      </c>
      <c r="Q7" s="9">
        <f t="shared" ref="Q7:Q46" si="1">IF(AND(ISBLANK(L6),AH7&lt;&gt;1),0,IFERROR(-O7*tenylegeskamat/365*(IF(ISBLANK(L7),$C$26,L7)-N7),""))</f>
        <v>-1438356.1643835616</v>
      </c>
      <c r="R7" s="24">
        <f t="shared" ref="R7:R44" si="2">IFERROR(IF(ISBLANK(L7),$C$26,L7)-N7,"")</f>
        <v>350</v>
      </c>
      <c r="T7" s="88"/>
      <c r="U7" s="86"/>
      <c r="V7" s="20" t="str">
        <f t="shared" ref="V7:V46" si="3">IF(ISNA(MAX(T6,INDEX(AJ$6:AJ$46,MATCH(T7-1,AJ$6:AJ$46,1)))),"",MAX(T6,INDEX(AJ$6:AJ$46,MATCH(T7-1,AJ$6:AJ$46,1))))</f>
        <v/>
      </c>
      <c r="W7" s="9" t="str">
        <f t="shared" ref="W7:W46" si="4">IF(ISNA(MIN(IF(OR(ISBLANK(W6),W6=""),INDEX(AK$7:AK$46,MATCH(T7,AJ$7:AJ$46,1)),W6-U6),INDEX(AK$7:AK$46,MATCH(T7,AJ$7:AJ$46,1)))),"",MIN(IF(OR(ISBLANK(W6),W6=""),INDEX(AK$7:AK$46,MATCH(T7,AJ$7:AJ$46,1)),W6-U6),INDEX(AK$7:AK$46,MATCH(T7,AJ$7:AJ$46,1))))</f>
        <v/>
      </c>
      <c r="X7" s="9" t="str">
        <f t="shared" ref="X7:X46" ca="1" si="5">IFERROR(-W7*piacikamat/365*(T7-V7),"")</f>
        <v/>
      </c>
      <c r="Y7" s="9" t="str">
        <f t="shared" ref="Y7:Y46" si="6">IFERROR(-W7*tenylegeskamat/365*(T7-V7),"")</f>
        <v/>
      </c>
      <c r="Z7" s="9" t="str">
        <f t="shared" ref="Z7:Z46" si="7">IFERROR(T7-V7,"")</f>
        <v/>
      </c>
      <c r="AA7" s="74">
        <f t="shared" ref="AA7:AA46" si="8">MAX(AJ6,IF(ISNA(INDEX(T$7:T$46,MATCH(AJ7,T$7:T$46,1))),0,INDEX(T$7:T$46,MATCH(AJ7,T$7:T$46,1))))</f>
        <v>43981</v>
      </c>
      <c r="AB7" s="35">
        <f t="shared" ref="AB7:AB46" si="9">IF(ISNA(INDEX(U$7:U$46,MATCH(AJ7,T$7:T$46,1))),0,INDEX(U$7:U$46,MATCH(AJ7,T$7:T$46,1)))</f>
        <v>0</v>
      </c>
      <c r="AC7" s="35">
        <f t="shared" ref="AC7:AC46" si="10">IF(ISNA(INDEX(W$7:W$46,MATCH(AJ7,T$7:T$46,1))),AK7,INDEX(W$7:W$46,MATCH(AJ7,T$7:T$46,1)))</f>
        <v>100000000</v>
      </c>
      <c r="AD7" s="15">
        <f t="shared" ref="AD7:AD46" ca="1" si="11">IFERROR(-(AC7-AB7)*piacikamat/365*(AJ7-AA7),0)</f>
        <v>-1486301.3698630137</v>
      </c>
      <c r="AE7" s="15">
        <f t="shared" ref="AE7:AE46" si="12">IFERROR(-(AC7-AB7)*tenylegeskamat/365*(AJ7-AA7),0)</f>
        <v>-1438356.1643835616</v>
      </c>
      <c r="AF7" s="34">
        <f t="shared" ref="AF7:AF46" si="13">IFERROR(AJ7-AA7,"")</f>
        <v>350</v>
      </c>
      <c r="AH7">
        <v>1</v>
      </c>
      <c r="AI7" s="25">
        <f>+IF(C27-C26&lt;&gt;0,1,"")</f>
        <v>1</v>
      </c>
      <c r="AJ7" s="26">
        <f>C26</f>
        <v>44331</v>
      </c>
      <c r="AK7" s="15">
        <f>IF(+C22&lt;&gt;0,C22,IF(AI7&gt;0,C22*J7,""))</f>
        <v>100000000</v>
      </c>
      <c r="AL7" s="118">
        <f>IF(OR(torlesztes="Egyedi",torlesztes="Annuitás"),-SUMIFS(U$7:U$46,T$7:T$46,"&gt;"&amp;AJ6,T$7:T$46,"&lt;="&amp;AJ7),IFERROR(IF(torlesztes="Egyenlő tőke",IF(COUNT($AK$7:AK7)&gt;$D$15,"",-$AK$5/$D$15),0),""))</f>
        <v>0</v>
      </c>
      <c r="AM7" s="27">
        <f ca="1">SUM(P7:P46)</f>
        <v>-1486301.3698630137</v>
      </c>
      <c r="AN7" s="15">
        <f>+AK7</f>
        <v>100000000</v>
      </c>
      <c r="AO7" s="27">
        <f>IF(OR(torlesztes="Egyedi",torlesztes="Annuitás"),-SUMIFS(U$7:U$46,T$7:T$46,"&gt;"&amp;AJ6,T$7:T$46,"&lt;="&amp;AJ7),IFERROR(IF(torlesztes="Egyenlő tőke",IF(COUNT($AN$7:AN7)&gt;$D$15,"",-$AK$5/$D$15),0),""))</f>
        <v>0</v>
      </c>
      <c r="AP7" s="27">
        <f>SUM(Q7:Q46)</f>
        <v>-1438356.1643835616</v>
      </c>
      <c r="AR7" s="27">
        <f ca="1">IFERROR(MAX((ABS(AM7)-ABS(AP7)),0),"")</f>
        <v>47945.205479452154</v>
      </c>
      <c r="AS7" s="27">
        <f ca="1">IFERROR(AR7/(1+($C$9+1%)/365*(AJ7-C24)),"")</f>
        <v>47097.451355061057</v>
      </c>
      <c r="AT7">
        <f t="shared" ref="AT7:AT42" si="14">IFERROR(AJ7-AJ6,"")</f>
        <v>350</v>
      </c>
    </row>
    <row r="8" spans="1:47" ht="15.75" x14ac:dyDescent="0.25">
      <c r="B8" s="105" t="s">
        <v>296</v>
      </c>
      <c r="C8" s="79"/>
      <c r="D8" s="8"/>
      <c r="F8" s="101"/>
      <c r="G8" s="114" t="s">
        <v>290</v>
      </c>
      <c r="H8" s="114" t="s">
        <v>291</v>
      </c>
      <c r="I8" s="115" t="s">
        <v>292</v>
      </c>
      <c r="J8" s="33" t="b">
        <f t="shared" ref="J8:J46" si="15">AI8&gt;$D$15</f>
        <v>0</v>
      </c>
      <c r="K8" s="33"/>
      <c r="L8" s="87"/>
      <c r="M8" s="86"/>
      <c r="N8" s="20" t="str">
        <f>IF(ISBLANK(L7),"",L7)</f>
        <v/>
      </c>
      <c r="O8" s="9">
        <f>IF(ISBLANK(L7),0,M7+O7)</f>
        <v>0</v>
      </c>
      <c r="P8" s="9">
        <f t="shared" si="0"/>
        <v>0</v>
      </c>
      <c r="Q8" s="9">
        <f t="shared" si="1"/>
        <v>0</v>
      </c>
      <c r="R8" s="24" t="str">
        <f t="shared" si="2"/>
        <v/>
      </c>
      <c r="T8" s="88"/>
      <c r="U8" s="86"/>
      <c r="V8" s="20" t="str">
        <f t="shared" si="3"/>
        <v/>
      </c>
      <c r="W8" s="9" t="str">
        <f t="shared" si="4"/>
        <v/>
      </c>
      <c r="X8" s="9" t="str">
        <f t="shared" ca="1" si="5"/>
        <v/>
      </c>
      <c r="Y8" s="9" t="str">
        <f t="shared" si="6"/>
        <v/>
      </c>
      <c r="Z8" s="9" t="str">
        <f t="shared" si="7"/>
        <v/>
      </c>
      <c r="AA8" s="74">
        <f t="shared" si="8"/>
        <v>44331</v>
      </c>
      <c r="AB8" s="35">
        <f t="shared" si="9"/>
        <v>0</v>
      </c>
      <c r="AC8" s="35">
        <f t="shared" si="10"/>
        <v>100000000</v>
      </c>
      <c r="AD8" s="15">
        <f t="shared" ca="1" si="11"/>
        <v>-131643.83561643836</v>
      </c>
      <c r="AE8" s="15">
        <f t="shared" si="12"/>
        <v>-127397.26027397258</v>
      </c>
      <c r="AF8" s="34">
        <f t="shared" si="13"/>
        <v>31</v>
      </c>
      <c r="AH8">
        <v>2</v>
      </c>
      <c r="AI8" s="25">
        <f>IF(COUNT(AJ8)=1,AI7+1,"")</f>
        <v>2</v>
      </c>
      <c r="AJ8" s="26">
        <f t="shared" ref="AJ8:AJ46" si="16">IF(OR(AJ7=$C$27,AJ7=""),"",IFERROR(IF(EDATE($C$26,(AH8-1)*12/$D$19)&lt;=$C$27,EDATE($C$26,(AH8-1)*12/$D$19),$C$27),""))</f>
        <v>44362</v>
      </c>
      <c r="AK8" s="27">
        <f t="shared" ref="AK8:AK46" si="17">+IF(COUNT(AK7)&lt;&gt;0,SUM(AK7:AL7)*(1-J8),"")</f>
        <v>100000000</v>
      </c>
      <c r="AL8" s="118">
        <f>IF(OR(torlesztes="Egyedi",torlesztes="Annuitás"),-SUMIFS(U$7:U$46,T$7:T$46,"&gt;"&amp;AJ7,T$7:T$46,"&lt;="&amp;AJ8),IFERROR(IF(torlesztes="Egyenlő tőke",IF(COUNT($AK$7:AK8)&gt;$D$15,"",-$AK$5/$D$15),0),""))</f>
        <v>0</v>
      </c>
      <c r="AM8" s="27">
        <f t="shared" ref="AM8:AM46" ca="1" si="18">IF(OR(torlesztes="Egyedi",torlesztes="Annuitás"),SUMIFS(X$7:X$46,T$7:T$46,"&gt;"&amp;AJ7,T$7:T$46,"&lt;="&amp;AJ8)+AD8,IFERROR(-AK8*piacikamat/365*(AJ8-AJ7),""))</f>
        <v>-131643.83561643836</v>
      </c>
      <c r="AN8" s="27">
        <f t="shared" ref="AN8:AN46" si="19">+IF(COUNT(AN7)&lt;&gt;0,SUM(AN7:AO7)*(1-J8),"")</f>
        <v>100000000</v>
      </c>
      <c r="AO8" s="27">
        <f>IF(OR(torlesztes="Egyedi",torlesztes="Annuitás"),-SUMIFS(U$7:U$46,T$7:T$46,"&gt;"&amp;AJ7,T$7:T$46,"&lt;="&amp;AJ8),IFERROR(IF(torlesztes="Egyenlő tőke",IF(COUNT($AN$7:AN8)&gt;$D$15,"",-$AK$5/$D$15),0),""))</f>
        <v>0</v>
      </c>
      <c r="AP8" s="27">
        <f t="shared" ref="AP8:AP46" si="20">IF(OR(torlesztes="Egyedi",torlesztes="Annuitás"),SUMIFS(Y$7:Y$46,T$7:T$46,"&gt;"&amp;AJ7,T$7:T$46,"&lt;="&amp;AJ8)+AE8,IFERROR(-AN8*tenylegeskamat/365*(AJ8-AJ7),""))</f>
        <v>-127397.26027397258</v>
      </c>
      <c r="AR8" s="27">
        <f t="shared" ref="AR8:AR46" ca="1" si="21">IFERROR(MAX((ABS(AM8)-ABS(AP8)),0),"")</f>
        <v>4246.5753424657742</v>
      </c>
      <c r="AS8" s="27">
        <f t="shared" ref="AS8:AS46" ca="1" si="22">IFERROR(AR8/POWER(1+($C$9+1%)/$D$19,AI8-1)/(1+($C$9+1%)/365*($AJ$7-$C$24)),"")</f>
        <v>4165.2406875597935</v>
      </c>
      <c r="AT8" s="34">
        <f t="shared" si="14"/>
        <v>31</v>
      </c>
    </row>
    <row r="9" spans="1:47" x14ac:dyDescent="0.25">
      <c r="B9" s="112" t="s">
        <v>126</v>
      </c>
      <c r="C9" s="125">
        <v>8.0000000000000002E-3</v>
      </c>
      <c r="D9" s="98" t="s">
        <v>253</v>
      </c>
      <c r="F9" s="102"/>
      <c r="G9" s="103"/>
      <c r="H9" s="103"/>
      <c r="I9" s="104"/>
      <c r="J9" s="33" t="b">
        <f t="shared" si="15"/>
        <v>0</v>
      </c>
      <c r="K9" s="33"/>
      <c r="L9" s="87"/>
      <c r="M9" s="86"/>
      <c r="N9" s="20" t="str">
        <f t="shared" ref="N9:N44" si="23">IF(ISBLANK(L8),"",L8)</f>
        <v/>
      </c>
      <c r="O9" s="9">
        <f t="shared" ref="O9:O44" si="24">IF(ISBLANK(L8),0,M8+O8)</f>
        <v>0</v>
      </c>
      <c r="P9" s="9">
        <f t="shared" si="0"/>
        <v>0</v>
      </c>
      <c r="Q9" s="9">
        <f t="shared" si="1"/>
        <v>0</v>
      </c>
      <c r="R9" s="24" t="str">
        <f t="shared" si="2"/>
        <v/>
      </c>
      <c r="S9" s="36"/>
      <c r="T9" s="88"/>
      <c r="U9" s="86"/>
      <c r="V9" s="20" t="str">
        <f t="shared" si="3"/>
        <v/>
      </c>
      <c r="W9" s="9" t="str">
        <f t="shared" si="4"/>
        <v/>
      </c>
      <c r="X9" s="9" t="str">
        <f t="shared" ca="1" si="5"/>
        <v/>
      </c>
      <c r="Y9" s="9" t="str">
        <f t="shared" si="6"/>
        <v/>
      </c>
      <c r="Z9" s="9" t="str">
        <f t="shared" si="7"/>
        <v/>
      </c>
      <c r="AA9" s="74">
        <f t="shared" si="8"/>
        <v>44362</v>
      </c>
      <c r="AB9" s="35">
        <f t="shared" si="9"/>
        <v>0</v>
      </c>
      <c r="AC9" s="35">
        <f t="shared" si="10"/>
        <v>100000000</v>
      </c>
      <c r="AD9" s="15">
        <f t="shared" ca="1" si="11"/>
        <v>-127397.2602739726</v>
      </c>
      <c r="AE9" s="15">
        <f t="shared" si="12"/>
        <v>-123287.6712328767</v>
      </c>
      <c r="AF9" s="34">
        <f t="shared" si="13"/>
        <v>30</v>
      </c>
      <c r="AH9" s="34">
        <v>3</v>
      </c>
      <c r="AI9" s="25">
        <f t="shared" ref="AI9:AI46" si="25">IF(COUNT(AJ9)=1,AI8+1,"")</f>
        <v>3</v>
      </c>
      <c r="AJ9" s="26">
        <f t="shared" si="16"/>
        <v>44392</v>
      </c>
      <c r="AK9" s="27">
        <f t="shared" si="17"/>
        <v>100000000</v>
      </c>
      <c r="AL9" s="118">
        <f>IF(OR(torlesztes="Egyedi",torlesztes="Annuitás"),-SUMIFS(U$7:U$46,T$7:T$46,"&gt;"&amp;AJ8,T$7:T$46,"&lt;="&amp;AJ9),IFERROR(IF(torlesztes="Egyenlő tőke",IF(COUNT($AK$7:AK9)&gt;$D$15,"",-$AK$5/$D$15),0),""))</f>
        <v>0</v>
      </c>
      <c r="AM9" s="27">
        <f t="shared" ca="1" si="18"/>
        <v>-127397.2602739726</v>
      </c>
      <c r="AN9" s="27">
        <f t="shared" si="19"/>
        <v>100000000</v>
      </c>
      <c r="AO9" s="27">
        <f>IF(OR(torlesztes="Egyedi",torlesztes="Annuitás"),-SUMIFS(U$7:U$46,T$7:T$46,"&gt;"&amp;AJ8,T$7:T$46,"&lt;="&amp;AJ9),IFERROR(IF(torlesztes="Egyenlő tőke",IF(COUNT($AN$7:AN9)&gt;$D$15,"",-$AK$5/$D$15),0),""))</f>
        <v>0</v>
      </c>
      <c r="AP9" s="27">
        <f t="shared" si="20"/>
        <v>-123287.6712328767</v>
      </c>
      <c r="AR9" s="27">
        <f t="shared" ca="1" si="21"/>
        <v>4109.5890410958964</v>
      </c>
      <c r="AS9" s="27">
        <f t="shared" ca="1" si="22"/>
        <v>4024.8408235000202</v>
      </c>
      <c r="AT9" s="34">
        <f t="shared" si="14"/>
        <v>30</v>
      </c>
    </row>
    <row r="10" spans="1:47" x14ac:dyDescent="0.25">
      <c r="B10" s="119" t="s">
        <v>311</v>
      </c>
      <c r="C10" s="120" t="s">
        <v>312</v>
      </c>
      <c r="D10" s="99">
        <f ca="1">+C15/D19</f>
        <v>1.2916666666666667E-3</v>
      </c>
      <c r="F10" s="93" t="s">
        <v>125</v>
      </c>
      <c r="G10" s="94">
        <f>IF(1800000-C32-C33-C34-C35-C36-C37&lt;=0,"Nem jogosult",1800000-C32-C33-C34-C35-C36-C37)</f>
        <v>1700000</v>
      </c>
      <c r="H10" s="95" t="str">
        <f>IF(mezogazdkizarok=0,"Nem releváns",IF(MIN(225000-C32-C36,1800000-C32-C33-C34-C35-C36-C37,270000-C32-C33-C36-C37)&lt;=0,"Nem jogosult",MIN(225000-C32-C36,1800000-C32-C33-C34-C35-C36-C37,270000-C32-C33-C36-C37)))</f>
        <v>Nem releváns</v>
      </c>
      <c r="I10" s="96" t="str">
        <f>IF(halaszatikizarok=0,"Nem releváns",IF(MIN(270000-C33-C37,1800000-C32-C33-C34-C35-C36-C37,270000-C32-C33-C36-C37)&lt;=0,"Nem jogosult",MIN(270000-C33-C37,1800000-C32-C33-C34-C35-C36-C37,270000-C32-C33-C36-C37)))</f>
        <v>Nem releváns</v>
      </c>
      <c r="J10" s="33" t="b">
        <f t="shared" si="15"/>
        <v>0</v>
      </c>
      <c r="K10" s="33"/>
      <c r="L10" s="87"/>
      <c r="M10" s="86"/>
      <c r="N10" s="20" t="str">
        <f t="shared" si="23"/>
        <v/>
      </c>
      <c r="O10" s="9">
        <f t="shared" si="24"/>
        <v>0</v>
      </c>
      <c r="P10" s="9">
        <f t="shared" si="0"/>
        <v>0</v>
      </c>
      <c r="Q10" s="9">
        <f t="shared" si="1"/>
        <v>0</v>
      </c>
      <c r="R10" s="24" t="str">
        <f t="shared" si="2"/>
        <v/>
      </c>
      <c r="S10" s="36"/>
      <c r="T10" s="88"/>
      <c r="U10" s="86"/>
      <c r="V10" s="20" t="str">
        <f t="shared" si="3"/>
        <v/>
      </c>
      <c r="W10" s="9" t="str">
        <f t="shared" si="4"/>
        <v/>
      </c>
      <c r="X10" s="9" t="str">
        <f t="shared" ca="1" si="5"/>
        <v/>
      </c>
      <c r="Y10" s="9" t="str">
        <f t="shared" si="6"/>
        <v/>
      </c>
      <c r="Z10" s="9" t="str">
        <f t="shared" si="7"/>
        <v/>
      </c>
      <c r="AA10" s="74">
        <f t="shared" si="8"/>
        <v>44392</v>
      </c>
      <c r="AB10" s="35">
        <f t="shared" si="9"/>
        <v>0</v>
      </c>
      <c r="AC10" s="35">
        <f t="shared" si="10"/>
        <v>100000000</v>
      </c>
      <c r="AD10" s="15">
        <f t="shared" ca="1" si="11"/>
        <v>-131643.83561643836</v>
      </c>
      <c r="AE10" s="15">
        <f t="shared" si="12"/>
        <v>-127397.26027397258</v>
      </c>
      <c r="AF10" s="34">
        <f t="shared" si="13"/>
        <v>31</v>
      </c>
      <c r="AH10" s="34">
        <v>4</v>
      </c>
      <c r="AI10" s="25">
        <f>IF(COUNT(AJ10)=1,AI9+1,"")</f>
        <v>4</v>
      </c>
      <c r="AJ10" s="26">
        <f t="shared" si="16"/>
        <v>44423</v>
      </c>
      <c r="AK10" s="27">
        <f t="shared" si="17"/>
        <v>100000000</v>
      </c>
      <c r="AL10" s="118">
        <f>IF(OR(torlesztes="Egyedi",torlesztes="Annuitás"),-SUMIFS(U$7:U$46,T$7:T$46,"&gt;"&amp;AJ9,T$7:T$46,"&lt;="&amp;AJ10),IFERROR(IF(torlesztes="Egyenlő tőke",IF(COUNT($AK$7:AK10)&gt;$D$15,"",-$AK$5/$D$15),0),""))</f>
        <v>0</v>
      </c>
      <c r="AM10" s="27">
        <f t="shared" ca="1" si="18"/>
        <v>-131643.83561643836</v>
      </c>
      <c r="AN10" s="27">
        <f t="shared" si="19"/>
        <v>100000000</v>
      </c>
      <c r="AO10" s="27">
        <f>IF(OR(torlesztes="Egyedi",torlesztes="Annuitás"),-SUMIFS(U$7:U$46,T$7:T$46,"&gt;"&amp;AJ9,T$7:T$46,"&lt;="&amp;AJ10),IFERROR(IF(torlesztes="Egyenlő tőke",IF(COUNT($AN$7:AN10)&gt;$D$15,"",-$AK$5/$D$15),0),""))</f>
        <v>0</v>
      </c>
      <c r="AP10" s="27">
        <f t="shared" si="20"/>
        <v>-127397.26027397258</v>
      </c>
      <c r="AR10" s="27">
        <f t="shared" ca="1" si="21"/>
        <v>4246.5753424657742</v>
      </c>
      <c r="AS10" s="27">
        <f t="shared" ca="1" si="22"/>
        <v>4152.7730247462487</v>
      </c>
      <c r="AT10" s="34">
        <f t="shared" si="14"/>
        <v>31</v>
      </c>
    </row>
    <row r="11" spans="1:47" x14ac:dyDescent="0.25">
      <c r="B11" s="121" t="s">
        <v>313</v>
      </c>
      <c r="C11" s="122"/>
      <c r="D11" s="60"/>
      <c r="J11" s="33" t="b">
        <f t="shared" si="15"/>
        <v>0</v>
      </c>
      <c r="K11" s="33"/>
      <c r="L11" s="87"/>
      <c r="M11" s="86"/>
      <c r="N11" s="20" t="str">
        <f t="shared" si="23"/>
        <v/>
      </c>
      <c r="O11" s="9">
        <f t="shared" si="24"/>
        <v>0</v>
      </c>
      <c r="P11" s="9">
        <f t="shared" si="0"/>
        <v>0</v>
      </c>
      <c r="Q11" s="9">
        <f t="shared" si="1"/>
        <v>0</v>
      </c>
      <c r="R11" s="24" t="str">
        <f t="shared" si="2"/>
        <v/>
      </c>
      <c r="S11" s="36"/>
      <c r="T11" s="88"/>
      <c r="U11" s="86"/>
      <c r="V11" s="20" t="str">
        <f t="shared" si="3"/>
        <v/>
      </c>
      <c r="W11" s="9" t="str">
        <f t="shared" si="4"/>
        <v/>
      </c>
      <c r="X11" s="9" t="str">
        <f t="shared" ca="1" si="5"/>
        <v/>
      </c>
      <c r="Y11" s="9" t="str">
        <f t="shared" si="6"/>
        <v/>
      </c>
      <c r="Z11" s="9" t="str">
        <f t="shared" si="7"/>
        <v/>
      </c>
      <c r="AA11" s="74">
        <f t="shared" si="8"/>
        <v>44423</v>
      </c>
      <c r="AB11" s="35">
        <f t="shared" si="9"/>
        <v>0</v>
      </c>
      <c r="AC11" s="35">
        <f t="shared" si="10"/>
        <v>100000000</v>
      </c>
      <c r="AD11" s="15">
        <f t="shared" ca="1" si="11"/>
        <v>-131643.83561643836</v>
      </c>
      <c r="AE11" s="15">
        <f t="shared" si="12"/>
        <v>-127397.26027397258</v>
      </c>
      <c r="AF11" s="34">
        <f t="shared" si="13"/>
        <v>31</v>
      </c>
      <c r="AH11" s="34">
        <v>5</v>
      </c>
      <c r="AI11" s="25">
        <f t="shared" si="25"/>
        <v>5</v>
      </c>
      <c r="AJ11" s="26">
        <f t="shared" si="16"/>
        <v>44454</v>
      </c>
      <c r="AK11" s="27">
        <f t="shared" si="17"/>
        <v>100000000</v>
      </c>
      <c r="AL11" s="118">
        <f>IF(OR(torlesztes="Egyedi",torlesztes="Annuitás"),-SUMIFS(U$7:U$46,T$7:T$46,"&gt;"&amp;AJ10,T$7:T$46,"&lt;="&amp;AJ11),IFERROR(IF(torlesztes="Egyenlő tőke",IF(COUNT($AK$7:AK11)&gt;$D$15,"",-$AK$5/$D$15),0),""))</f>
        <v>0</v>
      </c>
      <c r="AM11" s="27">
        <f t="shared" ca="1" si="18"/>
        <v>-131643.83561643836</v>
      </c>
      <c r="AN11" s="27">
        <f t="shared" si="19"/>
        <v>100000000</v>
      </c>
      <c r="AO11" s="27">
        <f>IF(OR(torlesztes="Egyedi",torlesztes="Annuitás"),-SUMIFS(U$7:U$46,T$7:T$46,"&gt;"&amp;AJ10,T$7:T$46,"&lt;="&amp;AJ11),IFERROR(IF(torlesztes="Egyenlő tőke",IF(COUNT($AN$7:AN11)&gt;$D$15,"",-$AK$5/$D$15),0),""))</f>
        <v>0</v>
      </c>
      <c r="AP11" s="27">
        <f t="shared" si="20"/>
        <v>-127397.26027397258</v>
      </c>
      <c r="AR11" s="27">
        <f t="shared" ca="1" si="21"/>
        <v>4246.5753424657742</v>
      </c>
      <c r="AS11" s="27">
        <f t="shared" ca="1" si="22"/>
        <v>4146.5531949538172</v>
      </c>
      <c r="AT11" s="34">
        <f t="shared" si="14"/>
        <v>31</v>
      </c>
    </row>
    <row r="12" spans="1:47" x14ac:dyDescent="0.25">
      <c r="B12" s="123" t="s">
        <v>314</v>
      </c>
      <c r="C12" s="124" t="s">
        <v>255</v>
      </c>
      <c r="D12" s="100">
        <v>1E-4</v>
      </c>
      <c r="J12" s="33" t="b">
        <f t="shared" si="15"/>
        <v>0</v>
      </c>
      <c r="K12" s="33"/>
      <c r="L12" s="87"/>
      <c r="M12" s="86"/>
      <c r="N12" s="20" t="str">
        <f t="shared" si="23"/>
        <v/>
      </c>
      <c r="O12" s="9">
        <f t="shared" si="24"/>
        <v>0</v>
      </c>
      <c r="P12" s="9">
        <f t="shared" si="0"/>
        <v>0</v>
      </c>
      <c r="Q12" s="9">
        <f t="shared" si="1"/>
        <v>0</v>
      </c>
      <c r="R12" s="24" t="str">
        <f t="shared" si="2"/>
        <v/>
      </c>
      <c r="S12" s="36"/>
      <c r="T12" s="88"/>
      <c r="U12" s="86"/>
      <c r="V12" s="20" t="str">
        <f t="shared" si="3"/>
        <v/>
      </c>
      <c r="W12" s="9" t="str">
        <f t="shared" si="4"/>
        <v/>
      </c>
      <c r="X12" s="9" t="str">
        <f t="shared" ca="1" si="5"/>
        <v/>
      </c>
      <c r="Y12" s="9" t="str">
        <f t="shared" si="6"/>
        <v/>
      </c>
      <c r="Z12" s="9" t="str">
        <f t="shared" si="7"/>
        <v/>
      </c>
      <c r="AA12" s="74">
        <f t="shared" si="8"/>
        <v>44454</v>
      </c>
      <c r="AB12" s="35">
        <f t="shared" si="9"/>
        <v>0</v>
      </c>
      <c r="AC12" s="35">
        <f t="shared" si="10"/>
        <v>100000000</v>
      </c>
      <c r="AD12" s="15">
        <f t="shared" ca="1" si="11"/>
        <v>-127397.2602739726</v>
      </c>
      <c r="AE12" s="15">
        <f t="shared" si="12"/>
        <v>-123287.6712328767</v>
      </c>
      <c r="AF12" s="34">
        <f t="shared" si="13"/>
        <v>30</v>
      </c>
      <c r="AH12" s="34">
        <v>6</v>
      </c>
      <c r="AI12" s="25">
        <f t="shared" si="25"/>
        <v>6</v>
      </c>
      <c r="AJ12" s="26">
        <f t="shared" si="16"/>
        <v>44484</v>
      </c>
      <c r="AK12" s="27">
        <f t="shared" si="17"/>
        <v>100000000</v>
      </c>
      <c r="AL12" s="118">
        <f>IF(OR(torlesztes="Egyedi",torlesztes="Annuitás"),-SUMIFS(U$7:U$46,T$7:T$46,"&gt;"&amp;AJ11,T$7:T$46,"&lt;="&amp;AJ12),IFERROR(IF(torlesztes="Egyenlő tőke",IF(COUNT($AK$7:AK12)&gt;$D$15,"",-$AK$5/$D$15),0),""))</f>
        <v>0</v>
      </c>
      <c r="AM12" s="27">
        <f t="shared" ca="1" si="18"/>
        <v>-127397.2602739726</v>
      </c>
      <c r="AN12" s="27">
        <f t="shared" si="19"/>
        <v>100000000</v>
      </c>
      <c r="AO12" s="27">
        <f>IF(OR(torlesztes="Egyedi",torlesztes="Annuitás"),-SUMIFS(U$7:U$46,T$7:T$46,"&gt;"&amp;AJ11,T$7:T$46,"&lt;="&amp;AJ12),IFERROR(IF(torlesztes="Egyenlő tőke",IF(COUNT($AN$7:AN12)&gt;$D$15,"",-$AK$5/$D$15),0),""))</f>
        <v>0</v>
      </c>
      <c r="AP12" s="27">
        <f t="shared" si="20"/>
        <v>-123287.6712328767</v>
      </c>
      <c r="AR12" s="27">
        <f t="shared" ca="1" si="21"/>
        <v>4109.5890410958964</v>
      </c>
      <c r="AS12" s="27">
        <f t="shared" ca="1" si="22"/>
        <v>4006.7832396120039</v>
      </c>
      <c r="AT12" s="34">
        <f t="shared" si="14"/>
        <v>30</v>
      </c>
    </row>
    <row r="13" spans="1:47" ht="15" customHeight="1" x14ac:dyDescent="0.25">
      <c r="A13" s="59"/>
      <c r="B13" s="123" t="s">
        <v>7</v>
      </c>
      <c r="C13" s="124" t="s">
        <v>1</v>
      </c>
      <c r="D13" s="10"/>
      <c r="E13" s="47"/>
      <c r="J13" s="33" t="b">
        <f t="shared" si="15"/>
        <v>0</v>
      </c>
      <c r="K13" s="33"/>
      <c r="L13" s="87"/>
      <c r="M13" s="86"/>
      <c r="N13" s="20" t="str">
        <f t="shared" si="23"/>
        <v/>
      </c>
      <c r="O13" s="9">
        <f t="shared" si="24"/>
        <v>0</v>
      </c>
      <c r="P13" s="9">
        <f t="shared" si="0"/>
        <v>0</v>
      </c>
      <c r="Q13" s="9">
        <f t="shared" si="1"/>
        <v>0</v>
      </c>
      <c r="R13" s="24" t="str">
        <f t="shared" si="2"/>
        <v/>
      </c>
      <c r="S13" s="36"/>
      <c r="T13" s="88"/>
      <c r="U13" s="86"/>
      <c r="V13" s="20" t="str">
        <f t="shared" si="3"/>
        <v/>
      </c>
      <c r="W13" s="9" t="str">
        <f t="shared" si="4"/>
        <v/>
      </c>
      <c r="X13" s="9" t="str">
        <f t="shared" ca="1" si="5"/>
        <v/>
      </c>
      <c r="Y13" s="9" t="str">
        <f t="shared" si="6"/>
        <v/>
      </c>
      <c r="Z13" s="9" t="str">
        <f t="shared" si="7"/>
        <v/>
      </c>
      <c r="AA13" s="74">
        <f t="shared" si="8"/>
        <v>44484</v>
      </c>
      <c r="AB13" s="35">
        <f t="shared" si="9"/>
        <v>0</v>
      </c>
      <c r="AC13" s="35">
        <f t="shared" si="10"/>
        <v>100000000</v>
      </c>
      <c r="AD13" s="15">
        <f t="shared" ca="1" si="11"/>
        <v>-131643.83561643836</v>
      </c>
      <c r="AE13" s="15">
        <f t="shared" si="12"/>
        <v>-127397.26027397258</v>
      </c>
      <c r="AF13" s="34">
        <f t="shared" si="13"/>
        <v>31</v>
      </c>
      <c r="AH13" s="34">
        <v>7</v>
      </c>
      <c r="AI13" s="25">
        <f t="shared" si="25"/>
        <v>7</v>
      </c>
      <c r="AJ13" s="26">
        <f t="shared" si="16"/>
        <v>44515</v>
      </c>
      <c r="AK13" s="27">
        <f t="shared" si="17"/>
        <v>100000000</v>
      </c>
      <c r="AL13" s="118">
        <f>IF(OR(torlesztes="Egyedi",torlesztes="Annuitás"),-SUMIFS(U$7:U$46,T$7:T$46,"&gt;"&amp;AJ12,T$7:T$46,"&lt;="&amp;AJ13),IFERROR(IF(torlesztes="Egyenlő tőke",IF(COUNT($AK$7:AK13)&gt;$D$15,"",-$AK$5/$D$15),0),""))</f>
        <v>0</v>
      </c>
      <c r="AM13" s="27">
        <f t="shared" ca="1" si="18"/>
        <v>-131643.83561643836</v>
      </c>
      <c r="AN13" s="27">
        <f t="shared" si="19"/>
        <v>100000000</v>
      </c>
      <c r="AO13" s="27">
        <f>IF(OR(torlesztes="Egyedi",torlesztes="Annuitás"),-SUMIFS(U$7:U$46,T$7:T$46,"&gt;"&amp;AJ12,T$7:T$46,"&lt;="&amp;AJ13),IFERROR(IF(torlesztes="Egyenlő tőke",IF(COUNT($AN$7:AN13)&gt;$D$15,"",-$AK$5/$D$15),0),""))</f>
        <v>0</v>
      </c>
      <c r="AP13" s="27">
        <f t="shared" si="20"/>
        <v>-127397.26027397258</v>
      </c>
      <c r="AR13" s="27">
        <f t="shared" ca="1" si="21"/>
        <v>4246.5753424657742</v>
      </c>
      <c r="AS13" s="27">
        <f t="shared" ca="1" si="22"/>
        <v>4134.1414687293245</v>
      </c>
      <c r="AT13" s="34">
        <f t="shared" si="14"/>
        <v>31</v>
      </c>
    </row>
    <row r="14" spans="1:47" ht="15" customHeight="1" x14ac:dyDescent="0.25">
      <c r="B14" s="14" t="s">
        <v>309</v>
      </c>
      <c r="C14" s="113">
        <f ca="1">IF(C10="Van",OFFSET(Adatok!$E$4,MATCH(C12,Adatok!$E$5:$E$9,0),MATCH(C13,Adatok!$F$4:$H$4,0),),MAX(OFFSET(Adatok!$E$4,MATCH(C12,Adatok!$E$5:$E$9,0),MATCH(C13,Adatok!$F$4:$H$4,0),),400))</f>
        <v>75</v>
      </c>
      <c r="D14" s="78"/>
      <c r="E14" s="47"/>
      <c r="H14"/>
      <c r="I14"/>
      <c r="J14" s="33" t="b">
        <f t="shared" si="15"/>
        <v>0</v>
      </c>
      <c r="K14" s="33"/>
      <c r="L14" s="87"/>
      <c r="M14" s="86"/>
      <c r="N14" s="20" t="str">
        <f t="shared" si="23"/>
        <v/>
      </c>
      <c r="O14" s="9">
        <f t="shared" si="24"/>
        <v>0</v>
      </c>
      <c r="P14" s="9">
        <f t="shared" si="0"/>
        <v>0</v>
      </c>
      <c r="Q14" s="9">
        <f t="shared" si="1"/>
        <v>0</v>
      </c>
      <c r="R14" s="24" t="str">
        <f t="shared" si="2"/>
        <v/>
      </c>
      <c r="S14" s="36"/>
      <c r="T14" s="88"/>
      <c r="U14" s="86"/>
      <c r="V14" s="20" t="str">
        <f t="shared" si="3"/>
        <v/>
      </c>
      <c r="W14" s="9" t="str">
        <f t="shared" si="4"/>
        <v/>
      </c>
      <c r="X14" s="9" t="str">
        <f t="shared" ca="1" si="5"/>
        <v/>
      </c>
      <c r="Y14" s="9" t="str">
        <f t="shared" si="6"/>
        <v/>
      </c>
      <c r="Z14" s="9" t="str">
        <f t="shared" si="7"/>
        <v/>
      </c>
      <c r="AA14" s="74">
        <f t="shared" si="8"/>
        <v>44515</v>
      </c>
      <c r="AB14" s="35">
        <f t="shared" si="9"/>
        <v>0</v>
      </c>
      <c r="AC14" s="35">
        <f t="shared" si="10"/>
        <v>100000000</v>
      </c>
      <c r="AD14" s="15">
        <f t="shared" ca="1" si="11"/>
        <v>-127397.2602739726</v>
      </c>
      <c r="AE14" s="15">
        <f t="shared" si="12"/>
        <v>-123287.6712328767</v>
      </c>
      <c r="AF14" s="34">
        <f t="shared" si="13"/>
        <v>30</v>
      </c>
      <c r="AH14" s="34">
        <v>8</v>
      </c>
      <c r="AI14" s="25">
        <f t="shared" si="25"/>
        <v>8</v>
      </c>
      <c r="AJ14" s="26">
        <f t="shared" si="16"/>
        <v>44545</v>
      </c>
      <c r="AK14" s="27">
        <f t="shared" si="17"/>
        <v>100000000</v>
      </c>
      <c r="AL14" s="118">
        <f>IF(OR(torlesztes="Egyedi",torlesztes="Annuitás"),-SUMIFS(U$7:U$46,T$7:T$46,"&gt;"&amp;AJ13,T$7:T$46,"&lt;="&amp;AJ14),IFERROR(IF(torlesztes="Egyenlő tőke",IF(COUNT($AK$7:AK14)&gt;$D$15,"",-$AK$5/$D$15),0),""))</f>
        <v>0</v>
      </c>
      <c r="AM14" s="27">
        <f t="shared" ca="1" si="18"/>
        <v>-127397.2602739726</v>
      </c>
      <c r="AN14" s="27">
        <f t="shared" si="19"/>
        <v>100000000</v>
      </c>
      <c r="AO14" s="27">
        <f>IF(OR(torlesztes="Egyedi",torlesztes="Annuitás"),-SUMIFS(U$7:U$46,T$7:T$46,"&gt;"&amp;AJ13,T$7:T$46,"&lt;="&amp;AJ14),IFERROR(IF(torlesztes="Egyenlő tőke",IF(COUNT($AN$7:AN14)&gt;$D$15,"",-$AK$5/$D$15),0),""))</f>
        <v>0</v>
      </c>
      <c r="AP14" s="27">
        <f t="shared" si="20"/>
        <v>-123287.6712328767</v>
      </c>
      <c r="AR14" s="27">
        <f t="shared" ca="1" si="21"/>
        <v>4109.5890410958964</v>
      </c>
      <c r="AS14" s="27">
        <f t="shared" ca="1" si="22"/>
        <v>3994.7898816896995</v>
      </c>
      <c r="AT14" s="34">
        <f t="shared" si="14"/>
        <v>30</v>
      </c>
    </row>
    <row r="15" spans="1:47" ht="15" customHeight="1" x14ac:dyDescent="0.25">
      <c r="B15" s="14" t="s">
        <v>310</v>
      </c>
      <c r="C15" s="69">
        <f ca="1">+(C9+C14/10000)</f>
        <v>1.55E-2</v>
      </c>
      <c r="D15" s="22">
        <f>COUNT(AI7:AI46)</f>
        <v>40</v>
      </c>
      <c r="E15" s="47"/>
      <c r="H15"/>
      <c r="I15"/>
      <c r="J15" s="33" t="b">
        <f t="shared" si="15"/>
        <v>0</v>
      </c>
      <c r="K15" s="33"/>
      <c r="L15" s="87"/>
      <c r="M15" s="86"/>
      <c r="N15" s="20" t="str">
        <f t="shared" si="23"/>
        <v/>
      </c>
      <c r="O15" s="9">
        <f t="shared" si="24"/>
        <v>0</v>
      </c>
      <c r="P15" s="9">
        <f t="shared" si="0"/>
        <v>0</v>
      </c>
      <c r="Q15" s="9">
        <f t="shared" si="1"/>
        <v>0</v>
      </c>
      <c r="R15" s="24" t="str">
        <f t="shared" si="2"/>
        <v/>
      </c>
      <c r="S15" s="36"/>
      <c r="T15" s="88"/>
      <c r="U15" s="86"/>
      <c r="V15" s="20" t="str">
        <f t="shared" si="3"/>
        <v/>
      </c>
      <c r="W15" s="9" t="str">
        <f t="shared" si="4"/>
        <v/>
      </c>
      <c r="X15" s="9" t="str">
        <f t="shared" ca="1" si="5"/>
        <v/>
      </c>
      <c r="Y15" s="9" t="str">
        <f t="shared" si="6"/>
        <v/>
      </c>
      <c r="Z15" s="9" t="str">
        <f t="shared" si="7"/>
        <v/>
      </c>
      <c r="AA15" s="74">
        <f t="shared" si="8"/>
        <v>44545</v>
      </c>
      <c r="AB15" s="35">
        <f t="shared" si="9"/>
        <v>0</v>
      </c>
      <c r="AC15" s="35">
        <f t="shared" si="10"/>
        <v>100000000</v>
      </c>
      <c r="AD15" s="15">
        <f t="shared" ca="1" si="11"/>
        <v>-131643.83561643836</v>
      </c>
      <c r="AE15" s="15">
        <f t="shared" si="12"/>
        <v>-127397.26027397258</v>
      </c>
      <c r="AF15" s="34">
        <f t="shared" si="13"/>
        <v>31</v>
      </c>
      <c r="AH15" s="34">
        <v>9</v>
      </c>
      <c r="AI15" s="25">
        <f t="shared" si="25"/>
        <v>9</v>
      </c>
      <c r="AJ15" s="26">
        <f t="shared" si="16"/>
        <v>44576</v>
      </c>
      <c r="AK15" s="27">
        <f t="shared" si="17"/>
        <v>100000000</v>
      </c>
      <c r="AL15" s="118">
        <f>IF(OR(torlesztes="Egyedi",torlesztes="Annuitás"),-SUMIFS(U$7:U$46,T$7:T$46,"&gt;"&amp;AJ14,T$7:T$46,"&lt;="&amp;AJ15),IFERROR(IF(torlesztes="Egyenlő tőke",IF(COUNT($AK$7:AK15)&gt;$D$15,"",-$AK$5/$D$15),0),""))</f>
        <v>0</v>
      </c>
      <c r="AM15" s="27">
        <f t="shared" ca="1" si="18"/>
        <v>-131643.83561643836</v>
      </c>
      <c r="AN15" s="27">
        <f t="shared" si="19"/>
        <v>100000000</v>
      </c>
      <c r="AO15" s="27">
        <f>IF(OR(torlesztes="Egyedi",torlesztes="Annuitás"),-SUMIFS(U$7:U$46,T$7:T$46,"&gt;"&amp;AJ14,T$7:T$46,"&lt;="&amp;AJ15),IFERROR(IF(torlesztes="Egyenlő tőke",IF(COUNT($AN$7:AN15)&gt;$D$15,"",-$AK$5/$D$15),0),""))</f>
        <v>0</v>
      </c>
      <c r="AP15" s="27">
        <f t="shared" si="20"/>
        <v>-127397.26027397258</v>
      </c>
      <c r="AR15" s="27">
        <f t="shared" ca="1" si="21"/>
        <v>4246.5753424657742</v>
      </c>
      <c r="AS15" s="27">
        <f t="shared" ca="1" si="22"/>
        <v>4121.7668940715957</v>
      </c>
      <c r="AT15" s="34">
        <f t="shared" si="14"/>
        <v>31</v>
      </c>
    </row>
    <row r="16" spans="1:47" ht="15" customHeight="1" x14ac:dyDescent="0.25">
      <c r="H16"/>
      <c r="I16"/>
      <c r="J16" s="33" t="b">
        <f t="shared" si="15"/>
        <v>0</v>
      </c>
      <c r="K16" s="33"/>
      <c r="L16" s="87"/>
      <c r="M16" s="86"/>
      <c r="N16" s="20" t="str">
        <f t="shared" si="23"/>
        <v/>
      </c>
      <c r="O16" s="9">
        <f t="shared" si="24"/>
        <v>0</v>
      </c>
      <c r="P16" s="9">
        <f t="shared" si="0"/>
        <v>0</v>
      </c>
      <c r="Q16" s="9">
        <f t="shared" si="1"/>
        <v>0</v>
      </c>
      <c r="R16" s="24" t="str">
        <f t="shared" si="2"/>
        <v/>
      </c>
      <c r="S16" s="36"/>
      <c r="T16" s="88"/>
      <c r="U16" s="86"/>
      <c r="V16" s="20" t="str">
        <f t="shared" si="3"/>
        <v/>
      </c>
      <c r="W16" s="9" t="str">
        <f t="shared" si="4"/>
        <v/>
      </c>
      <c r="X16" s="9" t="str">
        <f t="shared" ca="1" si="5"/>
        <v/>
      </c>
      <c r="Y16" s="9" t="str">
        <f t="shared" si="6"/>
        <v/>
      </c>
      <c r="Z16" s="9" t="str">
        <f t="shared" si="7"/>
        <v/>
      </c>
      <c r="AA16" s="74">
        <f t="shared" si="8"/>
        <v>44576</v>
      </c>
      <c r="AB16" s="35">
        <f t="shared" si="9"/>
        <v>0</v>
      </c>
      <c r="AC16" s="35">
        <f t="shared" si="10"/>
        <v>100000000</v>
      </c>
      <c r="AD16" s="15">
        <f t="shared" ca="1" si="11"/>
        <v>-131643.83561643836</v>
      </c>
      <c r="AE16" s="15">
        <f t="shared" si="12"/>
        <v>-127397.26027397258</v>
      </c>
      <c r="AF16" s="34">
        <f t="shared" si="13"/>
        <v>31</v>
      </c>
      <c r="AH16" s="34">
        <v>10</v>
      </c>
      <c r="AI16" s="25">
        <f>IF(COUNT(AJ16)=1,AI15+1,"")</f>
        <v>10</v>
      </c>
      <c r="AJ16" s="26">
        <f t="shared" si="16"/>
        <v>44607</v>
      </c>
      <c r="AK16" s="27">
        <f t="shared" si="17"/>
        <v>100000000</v>
      </c>
      <c r="AL16" s="118">
        <f>IF(OR(torlesztes="Egyedi",torlesztes="Annuitás"),-SUMIFS(U$7:U$46,T$7:T$46,"&gt;"&amp;AJ15,T$7:T$46,"&lt;="&amp;AJ16),IFERROR(IF(torlesztes="Egyenlő tőke",IF(COUNT($AK$7:AK16)&gt;$D$15,"",-$AK$5/$D$15),0),""))</f>
        <v>0</v>
      </c>
      <c r="AM16" s="27">
        <f t="shared" ca="1" si="18"/>
        <v>-131643.83561643836</v>
      </c>
      <c r="AN16" s="27">
        <f t="shared" si="19"/>
        <v>100000000</v>
      </c>
      <c r="AO16" s="27">
        <f>IF(OR(torlesztes="Egyedi",torlesztes="Annuitás"),-SUMIFS(U$7:U$46,T$7:T$46,"&gt;"&amp;AJ15,T$7:T$46,"&lt;="&amp;AJ16),IFERROR(IF(torlesztes="Egyenlő tőke",IF(COUNT($AN$7:AN16)&gt;$D$15,"",-$AK$5/$D$15),0),""))</f>
        <v>0</v>
      </c>
      <c r="AP16" s="27">
        <f t="shared" si="20"/>
        <v>-127397.26027397258</v>
      </c>
      <c r="AR16" s="27">
        <f t="shared" ca="1" si="21"/>
        <v>4246.5753424657742</v>
      </c>
      <c r="AS16" s="27">
        <f t="shared" ca="1" si="22"/>
        <v>4115.5935038158714</v>
      </c>
      <c r="AT16" s="34">
        <f t="shared" si="14"/>
        <v>31</v>
      </c>
    </row>
    <row r="17" spans="1:46" ht="15" customHeight="1" thickBot="1" x14ac:dyDescent="0.3">
      <c r="A17" s="38"/>
      <c r="B17" s="105" t="s">
        <v>297</v>
      </c>
      <c r="C17" s="79"/>
      <c r="D17" s="20"/>
      <c r="H17"/>
      <c r="I17"/>
      <c r="J17" s="33" t="b">
        <f t="shared" si="15"/>
        <v>0</v>
      </c>
      <c r="K17" s="33"/>
      <c r="L17" s="87"/>
      <c r="M17" s="86"/>
      <c r="N17" s="20" t="str">
        <f t="shared" si="23"/>
        <v/>
      </c>
      <c r="O17" s="9">
        <f t="shared" si="24"/>
        <v>0</v>
      </c>
      <c r="P17" s="9">
        <f t="shared" si="0"/>
        <v>0</v>
      </c>
      <c r="Q17" s="9">
        <f t="shared" si="1"/>
        <v>0</v>
      </c>
      <c r="R17" s="24" t="str">
        <f t="shared" si="2"/>
        <v/>
      </c>
      <c r="S17" s="36"/>
      <c r="T17" s="88"/>
      <c r="U17" s="86"/>
      <c r="V17" s="20" t="str">
        <f t="shared" si="3"/>
        <v/>
      </c>
      <c r="W17" s="9" t="str">
        <f t="shared" si="4"/>
        <v/>
      </c>
      <c r="X17" s="9" t="str">
        <f t="shared" ca="1" si="5"/>
        <v/>
      </c>
      <c r="Y17" s="9" t="str">
        <f t="shared" si="6"/>
        <v/>
      </c>
      <c r="Z17" s="9" t="str">
        <f t="shared" si="7"/>
        <v/>
      </c>
      <c r="AA17" s="74">
        <f t="shared" si="8"/>
        <v>44607</v>
      </c>
      <c r="AB17" s="35">
        <f t="shared" si="9"/>
        <v>0</v>
      </c>
      <c r="AC17" s="35">
        <f t="shared" si="10"/>
        <v>100000000</v>
      </c>
      <c r="AD17" s="15">
        <f t="shared" ca="1" si="11"/>
        <v>-118904.10958904109</v>
      </c>
      <c r="AE17" s="15">
        <f t="shared" si="12"/>
        <v>-115068.49315068492</v>
      </c>
      <c r="AF17" s="34">
        <f t="shared" si="13"/>
        <v>28</v>
      </c>
      <c r="AH17" s="34">
        <v>11</v>
      </c>
      <c r="AI17" s="25">
        <f>IF(COUNT(AJ17)=1,AI16+1,"")</f>
        <v>11</v>
      </c>
      <c r="AJ17" s="26">
        <f t="shared" si="16"/>
        <v>44635</v>
      </c>
      <c r="AK17" s="27">
        <f t="shared" si="17"/>
        <v>100000000</v>
      </c>
      <c r="AL17" s="118">
        <f>IF(OR(torlesztes="Egyedi",torlesztes="Annuitás"),-SUMIFS(U$7:U$46,T$7:T$46,"&gt;"&amp;AJ16,T$7:T$46,"&lt;="&amp;AJ17),IFERROR(IF(torlesztes="Egyenlő tőke",IF(COUNT($AK$7:AK17)&gt;$D$15,"",-$AK$5/$D$15),0),""))</f>
        <v>0</v>
      </c>
      <c r="AM17" s="27">
        <f t="shared" ca="1" si="18"/>
        <v>-118904.10958904109</v>
      </c>
      <c r="AN17" s="27">
        <f t="shared" si="19"/>
        <v>100000000</v>
      </c>
      <c r="AO17" s="27">
        <f>IF(OR(torlesztes="Egyedi",torlesztes="Annuitás"),-SUMIFS(U$7:U$46,T$7:T$46,"&gt;"&amp;AJ16,T$7:T$46,"&lt;="&amp;AJ17),IFERROR(IF(torlesztes="Egyenlő tőke",IF(COUNT($AN$7:AN17)&gt;$D$15,"",-$AK$5/$D$15),0),""))</f>
        <v>0</v>
      </c>
      <c r="AP17" s="27">
        <f t="shared" si="20"/>
        <v>-115068.49315068492</v>
      </c>
      <c r="AR17" s="27">
        <f t="shared" ca="1" si="21"/>
        <v>3835.61643835617</v>
      </c>
      <c r="AS17" s="27">
        <f t="shared" ca="1" si="22"/>
        <v>3711.7426475397865</v>
      </c>
      <c r="AT17" s="34">
        <f t="shared" si="14"/>
        <v>28</v>
      </c>
    </row>
    <row r="18" spans="1:46" ht="15" customHeight="1" thickBot="1" x14ac:dyDescent="0.3">
      <c r="B18" s="106" t="s">
        <v>308</v>
      </c>
      <c r="C18" s="128" t="s">
        <v>30</v>
      </c>
      <c r="E18" s="47"/>
      <c r="H18"/>
      <c r="I18"/>
      <c r="J18" s="33" t="b">
        <f t="shared" si="15"/>
        <v>0</v>
      </c>
      <c r="K18" s="33"/>
      <c r="L18" s="87"/>
      <c r="M18" s="86"/>
      <c r="N18" s="20" t="str">
        <f t="shared" si="23"/>
        <v/>
      </c>
      <c r="O18" s="9">
        <f t="shared" si="24"/>
        <v>0</v>
      </c>
      <c r="P18" s="9">
        <f t="shared" si="0"/>
        <v>0</v>
      </c>
      <c r="Q18" s="9">
        <f t="shared" si="1"/>
        <v>0</v>
      </c>
      <c r="R18" s="24" t="str">
        <f t="shared" si="2"/>
        <v/>
      </c>
      <c r="S18" s="36"/>
      <c r="T18" s="88"/>
      <c r="U18" s="86"/>
      <c r="V18" s="20" t="str">
        <f t="shared" si="3"/>
        <v/>
      </c>
      <c r="W18" s="9" t="str">
        <f t="shared" si="4"/>
        <v/>
      </c>
      <c r="X18" s="9" t="str">
        <f t="shared" ca="1" si="5"/>
        <v/>
      </c>
      <c r="Y18" s="9" t="str">
        <f t="shared" si="6"/>
        <v/>
      </c>
      <c r="Z18" s="9" t="str">
        <f t="shared" si="7"/>
        <v/>
      </c>
      <c r="AA18" s="74">
        <f t="shared" si="8"/>
        <v>44635</v>
      </c>
      <c r="AB18" s="35">
        <f t="shared" si="9"/>
        <v>0</v>
      </c>
      <c r="AC18" s="35">
        <f t="shared" si="10"/>
        <v>100000000</v>
      </c>
      <c r="AD18" s="15">
        <f t="shared" ca="1" si="11"/>
        <v>-131643.83561643836</v>
      </c>
      <c r="AE18" s="15">
        <f t="shared" si="12"/>
        <v>-127397.26027397258</v>
      </c>
      <c r="AF18" s="34">
        <f t="shared" si="13"/>
        <v>31</v>
      </c>
      <c r="AH18" s="34">
        <v>12</v>
      </c>
      <c r="AI18" s="25">
        <f t="shared" si="25"/>
        <v>12</v>
      </c>
      <c r="AJ18" s="26">
        <f t="shared" si="16"/>
        <v>44666</v>
      </c>
      <c r="AK18" s="27">
        <f t="shared" si="17"/>
        <v>100000000</v>
      </c>
      <c r="AL18" s="118">
        <f>IF(OR(torlesztes="Egyedi",torlesztes="Annuitás"),-SUMIFS(U$7:U$46,T$7:T$46,"&gt;"&amp;AJ17,T$7:T$46,"&lt;="&amp;AJ18),IFERROR(IF(torlesztes="Egyenlő tőke",IF(COUNT($AK$7:AK18)&gt;$D$15,"",-$AK$5/$D$15),0),""))</f>
        <v>0</v>
      </c>
      <c r="AM18" s="27">
        <f t="shared" ca="1" si="18"/>
        <v>-131643.83561643836</v>
      </c>
      <c r="AN18" s="27">
        <f t="shared" si="19"/>
        <v>100000000</v>
      </c>
      <c r="AO18" s="27">
        <f>IF(OR(torlesztes="Egyedi",torlesztes="Annuitás"),-SUMIFS(U$7:U$46,T$7:T$46,"&gt;"&amp;AJ17,T$7:T$46,"&lt;="&amp;AJ18),IFERROR(IF(torlesztes="Egyenlő tőke",IF(COUNT($AN$7:AN18)&gt;$D$15,"",-$AK$5/$D$15),0),""))</f>
        <v>0</v>
      </c>
      <c r="AP18" s="27">
        <f t="shared" si="20"/>
        <v>-127397.26027397258</v>
      </c>
      <c r="AR18" s="27">
        <f t="shared" ca="1" si="21"/>
        <v>4246.5753424657742</v>
      </c>
      <c r="AS18" s="27">
        <f t="shared" ca="1" si="22"/>
        <v>4103.2744481040509</v>
      </c>
      <c r="AT18" s="34">
        <f t="shared" si="14"/>
        <v>31</v>
      </c>
    </row>
    <row r="19" spans="1:46" x14ac:dyDescent="0.25">
      <c r="B19" s="85" t="s">
        <v>319</v>
      </c>
      <c r="C19" s="129" t="s">
        <v>302</v>
      </c>
      <c r="D19" s="23">
        <f>VLOOKUP($C$30,Adatok!P3:Q5,2,0)</f>
        <v>12</v>
      </c>
      <c r="E19"/>
      <c r="H19"/>
      <c r="I19"/>
      <c r="J19" s="33" t="b">
        <f t="shared" si="15"/>
        <v>0</v>
      </c>
      <c r="K19" s="33"/>
      <c r="L19" s="87"/>
      <c r="M19" s="86"/>
      <c r="N19" s="20" t="str">
        <f t="shared" si="23"/>
        <v/>
      </c>
      <c r="O19" s="9">
        <f t="shared" si="24"/>
        <v>0</v>
      </c>
      <c r="P19" s="9">
        <f t="shared" si="0"/>
        <v>0</v>
      </c>
      <c r="Q19" s="9">
        <f t="shared" si="1"/>
        <v>0</v>
      </c>
      <c r="R19" s="24" t="str">
        <f t="shared" si="2"/>
        <v/>
      </c>
      <c r="S19" s="36"/>
      <c r="T19" s="88"/>
      <c r="U19" s="86"/>
      <c r="V19" s="20" t="str">
        <f t="shared" si="3"/>
        <v/>
      </c>
      <c r="W19" s="9" t="str">
        <f t="shared" si="4"/>
        <v/>
      </c>
      <c r="X19" s="9" t="str">
        <f t="shared" ca="1" si="5"/>
        <v/>
      </c>
      <c r="Y19" s="9" t="str">
        <f t="shared" si="6"/>
        <v/>
      </c>
      <c r="Z19" s="9" t="str">
        <f t="shared" si="7"/>
        <v/>
      </c>
      <c r="AA19" s="74">
        <f t="shared" si="8"/>
        <v>44666</v>
      </c>
      <c r="AB19" s="35">
        <f t="shared" si="9"/>
        <v>0</v>
      </c>
      <c r="AC19" s="35">
        <f t="shared" si="10"/>
        <v>100000000</v>
      </c>
      <c r="AD19" s="15">
        <f t="shared" ca="1" si="11"/>
        <v>-127397.2602739726</v>
      </c>
      <c r="AE19" s="15">
        <f t="shared" si="12"/>
        <v>-123287.6712328767</v>
      </c>
      <c r="AF19" s="34">
        <f t="shared" si="13"/>
        <v>30</v>
      </c>
      <c r="AH19" s="34">
        <v>13</v>
      </c>
      <c r="AI19" s="25">
        <f t="shared" si="25"/>
        <v>13</v>
      </c>
      <c r="AJ19" s="26">
        <f t="shared" si="16"/>
        <v>44696</v>
      </c>
      <c r="AK19" s="27">
        <f t="shared" si="17"/>
        <v>100000000</v>
      </c>
      <c r="AL19" s="118">
        <f>IF(OR(torlesztes="Egyedi",torlesztes="Annuitás"),-SUMIFS(U$7:U$46,T$7:T$46,"&gt;"&amp;AJ18,T$7:T$46,"&lt;="&amp;AJ19),IFERROR(IF(torlesztes="Egyenlő tőke",IF(COUNT($AK$7:AK19)&gt;$D$15,"",-$AK$5/$D$15),0),""))</f>
        <v>0</v>
      </c>
      <c r="AM19" s="27">
        <f t="shared" ca="1" si="18"/>
        <v>-127397.2602739726</v>
      </c>
      <c r="AN19" s="27">
        <f t="shared" si="19"/>
        <v>100000000</v>
      </c>
      <c r="AO19" s="27">
        <f>IF(OR(torlesztes="Egyedi",torlesztes="Annuitás"),-SUMIFS(U$7:U$46,T$7:T$46,"&gt;"&amp;AJ18,T$7:T$46,"&lt;="&amp;AJ19),IFERROR(IF(torlesztes="Egyenlő tőke",IF(COUNT($AN$7:AN19)&gt;$D$15,"",-$AK$5/$D$15),0),""))</f>
        <v>0</v>
      </c>
      <c r="AP19" s="27">
        <f t="shared" si="20"/>
        <v>-123287.6712328767</v>
      </c>
      <c r="AR19" s="27">
        <f t="shared" ca="1" si="21"/>
        <v>4109.5890410958964</v>
      </c>
      <c r="AS19" s="27">
        <f t="shared" ca="1" si="22"/>
        <v>3964.9633112628176</v>
      </c>
      <c r="AT19" s="34">
        <f t="shared" si="14"/>
        <v>30</v>
      </c>
    </row>
    <row r="20" spans="1:46" x14ac:dyDescent="0.25">
      <c r="B20" s="85" t="s">
        <v>306</v>
      </c>
      <c r="C20" s="117" t="s">
        <v>315</v>
      </c>
      <c r="D20" s="77"/>
      <c r="H20"/>
      <c r="I20"/>
      <c r="J20" s="33" t="b">
        <f t="shared" si="15"/>
        <v>0</v>
      </c>
      <c r="K20" s="33"/>
      <c r="L20" s="87"/>
      <c r="M20" s="86"/>
      <c r="N20" s="20" t="str">
        <f t="shared" si="23"/>
        <v/>
      </c>
      <c r="O20" s="9">
        <f t="shared" si="24"/>
        <v>0</v>
      </c>
      <c r="P20" s="9">
        <f t="shared" si="0"/>
        <v>0</v>
      </c>
      <c r="Q20" s="9">
        <f t="shared" si="1"/>
        <v>0</v>
      </c>
      <c r="R20" s="24" t="str">
        <f t="shared" si="2"/>
        <v/>
      </c>
      <c r="S20" s="36"/>
      <c r="T20" s="88"/>
      <c r="U20" s="86"/>
      <c r="V20" s="20" t="str">
        <f t="shared" si="3"/>
        <v/>
      </c>
      <c r="W20" s="9" t="str">
        <f t="shared" si="4"/>
        <v/>
      </c>
      <c r="X20" s="9" t="str">
        <f t="shared" ca="1" si="5"/>
        <v/>
      </c>
      <c r="Y20" s="9" t="str">
        <f t="shared" si="6"/>
        <v/>
      </c>
      <c r="Z20" s="9" t="str">
        <f t="shared" si="7"/>
        <v/>
      </c>
      <c r="AA20" s="74">
        <f t="shared" si="8"/>
        <v>44696</v>
      </c>
      <c r="AB20" s="35">
        <f t="shared" si="9"/>
        <v>0</v>
      </c>
      <c r="AC20" s="35">
        <f t="shared" si="10"/>
        <v>100000000</v>
      </c>
      <c r="AD20" s="15">
        <f t="shared" ca="1" si="11"/>
        <v>-131643.83561643836</v>
      </c>
      <c r="AE20" s="15">
        <f t="shared" si="12"/>
        <v>-127397.26027397258</v>
      </c>
      <c r="AF20" s="34">
        <f t="shared" si="13"/>
        <v>31</v>
      </c>
      <c r="AH20" s="34">
        <v>14</v>
      </c>
      <c r="AI20" s="25">
        <f t="shared" si="25"/>
        <v>14</v>
      </c>
      <c r="AJ20" s="26">
        <f t="shared" si="16"/>
        <v>44727</v>
      </c>
      <c r="AK20" s="27">
        <f t="shared" si="17"/>
        <v>100000000</v>
      </c>
      <c r="AL20" s="118">
        <f>IF(OR(torlesztes="Egyedi",torlesztes="Annuitás"),-SUMIFS(U$7:U$46,T$7:T$46,"&gt;"&amp;AJ19,T$7:T$46,"&lt;="&amp;AJ20),IFERROR(IF(torlesztes="Egyenlő tőke",IF(COUNT($AK$7:AK20)&gt;$D$15,"",-$AK$5/$D$15),0),""))</f>
        <v>0</v>
      </c>
      <c r="AM20" s="27">
        <f t="shared" ca="1" si="18"/>
        <v>-131643.83561643836</v>
      </c>
      <c r="AN20" s="27">
        <f t="shared" si="19"/>
        <v>100000000</v>
      </c>
      <c r="AO20" s="27">
        <f>IF(OR(torlesztes="Egyedi",torlesztes="Annuitás"),-SUMIFS(U$7:U$46,T$7:T$46,"&gt;"&amp;AJ19,T$7:T$46,"&lt;="&amp;AJ20),IFERROR(IF(torlesztes="Egyenlő tőke",IF(COUNT($AN$7:AN20)&gt;$D$15,"",-$AK$5/$D$15),0),""))</f>
        <v>0</v>
      </c>
      <c r="AP20" s="27">
        <f t="shared" si="20"/>
        <v>-127397.26027397258</v>
      </c>
      <c r="AR20" s="27">
        <f t="shared" ca="1" si="21"/>
        <v>4246.5753424657742</v>
      </c>
      <c r="AS20" s="27">
        <f t="shared" ca="1" si="22"/>
        <v>4090.9922665717345</v>
      </c>
      <c r="AT20" s="34">
        <f t="shared" si="14"/>
        <v>31</v>
      </c>
    </row>
    <row r="21" spans="1:46" x14ac:dyDescent="0.25">
      <c r="B21" s="85" t="s">
        <v>307</v>
      </c>
      <c r="C21" s="117" t="s">
        <v>317</v>
      </c>
      <c r="D21" s="21"/>
      <c r="H21"/>
      <c r="I21"/>
      <c r="J21" s="33" t="b">
        <f t="shared" si="15"/>
        <v>0</v>
      </c>
      <c r="K21" s="33"/>
      <c r="L21" s="87"/>
      <c r="M21" s="86"/>
      <c r="N21" s="20" t="str">
        <f t="shared" si="23"/>
        <v/>
      </c>
      <c r="O21" s="9">
        <f t="shared" si="24"/>
        <v>0</v>
      </c>
      <c r="P21" s="9">
        <f t="shared" si="0"/>
        <v>0</v>
      </c>
      <c r="Q21" s="9">
        <f t="shared" si="1"/>
        <v>0</v>
      </c>
      <c r="R21" s="24" t="str">
        <f t="shared" si="2"/>
        <v/>
      </c>
      <c r="S21" s="36"/>
      <c r="T21" s="88"/>
      <c r="U21" s="86"/>
      <c r="V21" s="20" t="str">
        <f t="shared" si="3"/>
        <v/>
      </c>
      <c r="W21" s="9" t="str">
        <f t="shared" si="4"/>
        <v/>
      </c>
      <c r="X21" s="9" t="str">
        <f t="shared" ca="1" si="5"/>
        <v/>
      </c>
      <c r="Y21" s="9" t="str">
        <f t="shared" si="6"/>
        <v/>
      </c>
      <c r="Z21" s="9" t="str">
        <f t="shared" si="7"/>
        <v/>
      </c>
      <c r="AA21" s="74">
        <f t="shared" si="8"/>
        <v>44727</v>
      </c>
      <c r="AB21" s="35">
        <f t="shared" si="9"/>
        <v>0</v>
      </c>
      <c r="AC21" s="35">
        <f t="shared" si="10"/>
        <v>100000000</v>
      </c>
      <c r="AD21" s="15">
        <f t="shared" ca="1" si="11"/>
        <v>-127397.2602739726</v>
      </c>
      <c r="AE21" s="15">
        <f t="shared" si="12"/>
        <v>-123287.6712328767</v>
      </c>
      <c r="AF21" s="34">
        <f t="shared" si="13"/>
        <v>30</v>
      </c>
      <c r="AH21" s="34">
        <v>15</v>
      </c>
      <c r="AI21" s="25">
        <f t="shared" si="25"/>
        <v>15</v>
      </c>
      <c r="AJ21" s="26">
        <f t="shared" si="16"/>
        <v>44757</v>
      </c>
      <c r="AK21" s="27">
        <f t="shared" si="17"/>
        <v>100000000</v>
      </c>
      <c r="AL21" s="118">
        <f>IF(OR(torlesztes="Egyedi",torlesztes="Annuitás"),-SUMIFS(U$7:U$46,T$7:T$46,"&gt;"&amp;AJ20,T$7:T$46,"&lt;="&amp;AJ21),IFERROR(IF(torlesztes="Egyenlő tőke",IF(COUNT($AK$7:AK21)&gt;$D$15,"",-$AK$5/$D$15),0),""))</f>
        <v>0</v>
      </c>
      <c r="AM21" s="27">
        <f t="shared" ca="1" si="18"/>
        <v>-127397.2602739726</v>
      </c>
      <c r="AN21" s="27">
        <f t="shared" si="19"/>
        <v>100000000</v>
      </c>
      <c r="AO21" s="27">
        <f>IF(OR(torlesztes="Egyedi",torlesztes="Annuitás"),-SUMIFS(U$7:U$46,T$7:T$46,"&gt;"&amp;AJ20,T$7:T$46,"&lt;="&amp;AJ21),IFERROR(IF(torlesztes="Egyenlő tőke",IF(COUNT($AN$7:AN21)&gt;$D$15,"",-$AK$5/$D$15),0),""))</f>
        <v>0</v>
      </c>
      <c r="AP21" s="27">
        <f t="shared" si="20"/>
        <v>-123287.6712328767</v>
      </c>
      <c r="AR21" s="27">
        <f t="shared" ca="1" si="21"/>
        <v>4109.5890410958964</v>
      </c>
      <c r="AS21" s="27">
        <f t="shared" ca="1" si="22"/>
        <v>3953.0951314045578</v>
      </c>
      <c r="AT21" s="34">
        <f t="shared" si="14"/>
        <v>30</v>
      </c>
    </row>
    <row r="22" spans="1:46" x14ac:dyDescent="0.25">
      <c r="A22"/>
      <c r="B22" s="85" t="str">
        <f>IF(C21="HUF",IF(C22&gt;3500000000,"A hitelösszeg nem haladhatja meg a 3,5 milliárd forintot!","Hitelösszeg"),IF(C22&gt;10000000,"A hitelösszeg nem haladhatja meg a 10 millió eurót!","Hitelösszeg"))</f>
        <v>Hitelösszeg</v>
      </c>
      <c r="C22" s="97">
        <v>100000000</v>
      </c>
      <c r="D22" s="20"/>
      <c r="H22"/>
      <c r="I22"/>
      <c r="J22" s="33" t="b">
        <f t="shared" si="15"/>
        <v>0</v>
      </c>
      <c r="K22" s="33"/>
      <c r="L22" s="87"/>
      <c r="M22" s="86"/>
      <c r="N22" s="20" t="str">
        <f t="shared" si="23"/>
        <v/>
      </c>
      <c r="O22" s="9">
        <f t="shared" si="24"/>
        <v>0</v>
      </c>
      <c r="P22" s="9">
        <f t="shared" si="0"/>
        <v>0</v>
      </c>
      <c r="Q22" s="9">
        <f t="shared" si="1"/>
        <v>0</v>
      </c>
      <c r="R22" s="24" t="str">
        <f t="shared" si="2"/>
        <v/>
      </c>
      <c r="S22" s="36"/>
      <c r="T22" s="88"/>
      <c r="U22" s="86"/>
      <c r="V22" s="20" t="str">
        <f t="shared" si="3"/>
        <v/>
      </c>
      <c r="W22" s="9" t="str">
        <f t="shared" si="4"/>
        <v/>
      </c>
      <c r="X22" s="9" t="str">
        <f t="shared" ca="1" si="5"/>
        <v/>
      </c>
      <c r="Y22" s="9" t="str">
        <f t="shared" si="6"/>
        <v/>
      </c>
      <c r="Z22" s="9" t="str">
        <f t="shared" si="7"/>
        <v/>
      </c>
      <c r="AA22" s="74">
        <f t="shared" si="8"/>
        <v>44757</v>
      </c>
      <c r="AB22" s="35">
        <f t="shared" si="9"/>
        <v>0</v>
      </c>
      <c r="AC22" s="35">
        <f t="shared" si="10"/>
        <v>100000000</v>
      </c>
      <c r="AD22" s="15">
        <f t="shared" ca="1" si="11"/>
        <v>-131643.83561643836</v>
      </c>
      <c r="AE22" s="15">
        <f t="shared" si="12"/>
        <v>-127397.26027397258</v>
      </c>
      <c r="AF22" s="34">
        <f t="shared" si="13"/>
        <v>31</v>
      </c>
      <c r="AH22" s="34">
        <v>16</v>
      </c>
      <c r="AI22" s="25">
        <f t="shared" si="25"/>
        <v>16</v>
      </c>
      <c r="AJ22" s="26">
        <f t="shared" si="16"/>
        <v>44788</v>
      </c>
      <c r="AK22" s="27">
        <f t="shared" si="17"/>
        <v>100000000</v>
      </c>
      <c r="AL22" s="118">
        <f>IF(OR(torlesztes="Egyedi",torlesztes="Annuitás"),-SUMIFS(U$7:U$46,T$7:T$46,"&gt;"&amp;AJ21,T$7:T$46,"&lt;="&amp;AJ22),IFERROR(IF(torlesztes="Egyenlő tőke",IF(COUNT($AK$7:AK22)&gt;$D$15,"",-$AK$5/$D$15),0),""))</f>
        <v>0</v>
      </c>
      <c r="AM22" s="27">
        <f t="shared" ca="1" si="18"/>
        <v>-131643.83561643836</v>
      </c>
      <c r="AN22" s="27">
        <f t="shared" si="19"/>
        <v>100000000</v>
      </c>
      <c r="AO22" s="27">
        <f>IF(OR(torlesztes="Egyedi",torlesztes="Annuitás"),-SUMIFS(U$7:U$46,T$7:T$46,"&gt;"&amp;AJ21,T$7:T$46,"&lt;="&amp;AJ22),IFERROR(IF(torlesztes="Egyenlő tőke",IF(COUNT($AN$7:AN22)&gt;$D$15,"",-$AK$5/$D$15),0),""))</f>
        <v>0</v>
      </c>
      <c r="AP22" s="27">
        <f t="shared" si="20"/>
        <v>-127397.26027397258</v>
      </c>
      <c r="AR22" s="27">
        <f t="shared" ca="1" si="21"/>
        <v>4246.5753424657742</v>
      </c>
      <c r="AS22" s="27">
        <f t="shared" ca="1" si="22"/>
        <v>4078.7468488447894</v>
      </c>
      <c r="AT22" s="34">
        <f t="shared" si="14"/>
        <v>31</v>
      </c>
    </row>
    <row r="23" spans="1:46" x14ac:dyDescent="0.25">
      <c r="B23" s="84" t="s">
        <v>117</v>
      </c>
      <c r="C23" s="83">
        <v>310</v>
      </c>
      <c r="H23"/>
      <c r="I23"/>
      <c r="J23" s="33" t="b">
        <f t="shared" si="15"/>
        <v>0</v>
      </c>
      <c r="K23" s="33"/>
      <c r="L23" s="87"/>
      <c r="M23" s="86"/>
      <c r="N23" s="20" t="str">
        <f t="shared" si="23"/>
        <v/>
      </c>
      <c r="O23" s="9">
        <f t="shared" si="24"/>
        <v>0</v>
      </c>
      <c r="P23" s="9">
        <f t="shared" si="0"/>
        <v>0</v>
      </c>
      <c r="Q23" s="9">
        <f t="shared" si="1"/>
        <v>0</v>
      </c>
      <c r="R23" s="24" t="str">
        <f t="shared" si="2"/>
        <v/>
      </c>
      <c r="S23" s="36"/>
      <c r="T23" s="88"/>
      <c r="U23" s="86"/>
      <c r="V23" s="20" t="str">
        <f t="shared" si="3"/>
        <v/>
      </c>
      <c r="W23" s="9" t="str">
        <f t="shared" si="4"/>
        <v/>
      </c>
      <c r="X23" s="9" t="str">
        <f t="shared" ca="1" si="5"/>
        <v/>
      </c>
      <c r="Y23" s="9" t="str">
        <f t="shared" si="6"/>
        <v/>
      </c>
      <c r="Z23" s="9" t="str">
        <f t="shared" si="7"/>
        <v/>
      </c>
      <c r="AA23" s="74">
        <f t="shared" si="8"/>
        <v>44788</v>
      </c>
      <c r="AB23" s="35">
        <f t="shared" si="9"/>
        <v>0</v>
      </c>
      <c r="AC23" s="35">
        <f t="shared" si="10"/>
        <v>100000000</v>
      </c>
      <c r="AD23" s="15">
        <f t="shared" ca="1" si="11"/>
        <v>-131643.83561643836</v>
      </c>
      <c r="AE23" s="15">
        <f t="shared" si="12"/>
        <v>-127397.26027397258</v>
      </c>
      <c r="AF23" s="34">
        <f t="shared" si="13"/>
        <v>31</v>
      </c>
      <c r="AH23" s="34">
        <v>17</v>
      </c>
      <c r="AI23" s="25">
        <f t="shared" si="25"/>
        <v>17</v>
      </c>
      <c r="AJ23" s="26">
        <f t="shared" si="16"/>
        <v>44819</v>
      </c>
      <c r="AK23" s="27">
        <f t="shared" si="17"/>
        <v>100000000</v>
      </c>
      <c r="AL23" s="118">
        <f>IF(OR(torlesztes="Egyedi",torlesztes="Annuitás"),-SUMIFS(U$7:U$46,T$7:T$46,"&gt;"&amp;AJ22,T$7:T$46,"&lt;="&amp;AJ23),IFERROR(IF(torlesztes="Egyenlő tőke",IF(COUNT($AK$7:AK23)&gt;$D$15,"",-$AK$5/$D$15),0),""))</f>
        <v>0</v>
      </c>
      <c r="AM23" s="27">
        <f t="shared" ca="1" si="18"/>
        <v>-131643.83561643836</v>
      </c>
      <c r="AN23" s="27">
        <f t="shared" si="19"/>
        <v>100000000</v>
      </c>
      <c r="AO23" s="27">
        <f>IF(OR(torlesztes="Egyedi",torlesztes="Annuitás"),-SUMIFS(U$7:U$46,T$7:T$46,"&gt;"&amp;AJ22,T$7:T$46,"&lt;="&amp;AJ23),IFERROR(IF(torlesztes="Egyenlő tőke",IF(COUNT($AN$7:AN23)&gt;$D$15,"",-$AK$5/$D$15),0),""))</f>
        <v>0</v>
      </c>
      <c r="AP23" s="27">
        <f t="shared" si="20"/>
        <v>-127397.26027397258</v>
      </c>
      <c r="AR23" s="27">
        <f t="shared" ca="1" si="21"/>
        <v>4246.5753424657742</v>
      </c>
      <c r="AS23" s="27">
        <f t="shared" ca="1" si="22"/>
        <v>4072.6378920067777</v>
      </c>
      <c r="AT23" s="34">
        <f t="shared" si="14"/>
        <v>31</v>
      </c>
    </row>
    <row r="24" spans="1:46" x14ac:dyDescent="0.25">
      <c r="B24" s="107" t="s">
        <v>282</v>
      </c>
      <c r="C24" s="75">
        <v>43966</v>
      </c>
      <c r="H24"/>
      <c r="I24"/>
      <c r="J24" s="33" t="b">
        <f t="shared" si="15"/>
        <v>0</v>
      </c>
      <c r="K24" s="33"/>
      <c r="L24" s="87"/>
      <c r="M24" s="86"/>
      <c r="N24" s="20" t="str">
        <f t="shared" si="23"/>
        <v/>
      </c>
      <c r="O24" s="9">
        <f t="shared" si="24"/>
        <v>0</v>
      </c>
      <c r="P24" s="9">
        <f t="shared" si="0"/>
        <v>0</v>
      </c>
      <c r="Q24" s="9">
        <f t="shared" si="1"/>
        <v>0</v>
      </c>
      <c r="R24" s="24" t="str">
        <f t="shared" si="2"/>
        <v/>
      </c>
      <c r="S24" s="36"/>
      <c r="T24" s="88"/>
      <c r="U24" s="86"/>
      <c r="V24" s="20" t="str">
        <f t="shared" si="3"/>
        <v/>
      </c>
      <c r="W24" s="9" t="str">
        <f t="shared" si="4"/>
        <v/>
      </c>
      <c r="X24" s="9" t="str">
        <f t="shared" ca="1" si="5"/>
        <v/>
      </c>
      <c r="Y24" s="9" t="str">
        <f t="shared" si="6"/>
        <v/>
      </c>
      <c r="Z24" s="9" t="str">
        <f t="shared" si="7"/>
        <v/>
      </c>
      <c r="AA24" s="74">
        <f t="shared" si="8"/>
        <v>44819</v>
      </c>
      <c r="AB24" s="35">
        <f t="shared" si="9"/>
        <v>0</v>
      </c>
      <c r="AC24" s="35">
        <f t="shared" si="10"/>
        <v>100000000</v>
      </c>
      <c r="AD24" s="15">
        <f t="shared" ca="1" si="11"/>
        <v>-127397.2602739726</v>
      </c>
      <c r="AE24" s="15">
        <f t="shared" si="12"/>
        <v>-123287.6712328767</v>
      </c>
      <c r="AF24" s="34">
        <f t="shared" si="13"/>
        <v>30</v>
      </c>
      <c r="AH24" s="34">
        <v>18</v>
      </c>
      <c r="AI24" s="25">
        <f t="shared" si="25"/>
        <v>18</v>
      </c>
      <c r="AJ24" s="26">
        <f t="shared" si="16"/>
        <v>44849</v>
      </c>
      <c r="AK24" s="27">
        <f t="shared" si="17"/>
        <v>100000000</v>
      </c>
      <c r="AL24" s="118">
        <f>IF(OR(torlesztes="Egyedi",torlesztes="Annuitás"),-SUMIFS(U$7:U$46,T$7:T$46,"&gt;"&amp;AJ23,T$7:T$46,"&lt;="&amp;AJ24),IFERROR(IF(torlesztes="Egyenlő tőke",IF(COUNT($AK$7:AK24)&gt;$D$15,"",-$AK$5/$D$15),0),""))</f>
        <v>0</v>
      </c>
      <c r="AM24" s="27">
        <f t="shared" ca="1" si="18"/>
        <v>-127397.2602739726</v>
      </c>
      <c r="AN24" s="27">
        <f t="shared" si="19"/>
        <v>100000000</v>
      </c>
      <c r="AO24" s="27">
        <f>IF(OR(torlesztes="Egyedi",torlesztes="Annuitás"),-SUMIFS(U$7:U$46,T$7:T$46,"&gt;"&amp;AJ23,T$7:T$46,"&lt;="&amp;AJ24),IFERROR(IF(torlesztes="Egyenlő tőke",IF(COUNT($AN$7:AN24)&gt;$D$15,"",-$AK$5/$D$15),0),""))</f>
        <v>0</v>
      </c>
      <c r="AP24" s="27">
        <f t="shared" si="20"/>
        <v>-123287.6712328767</v>
      </c>
      <c r="AR24" s="27">
        <f t="shared" ca="1" si="21"/>
        <v>4109.5890410958964</v>
      </c>
      <c r="AS24" s="27">
        <f t="shared" ca="1" si="22"/>
        <v>3935.3594369801071</v>
      </c>
      <c r="AT24" s="34">
        <f t="shared" si="14"/>
        <v>30</v>
      </c>
    </row>
    <row r="25" spans="1:46" x14ac:dyDescent="0.25">
      <c r="B25" s="107" t="str">
        <f>"Szerződéskötés várható dátuma"&amp;IF(C25&gt;DATE(2021,6,30)," - Nem lehet későbbi, mint 2021.06.30","")</f>
        <v>Szerződéskötés várható dátuma</v>
      </c>
      <c r="C25" s="75">
        <v>43981</v>
      </c>
      <c r="F25" s="34"/>
      <c r="H25"/>
      <c r="I25"/>
      <c r="J25" s="33" t="b">
        <f t="shared" si="15"/>
        <v>0</v>
      </c>
      <c r="K25" s="33"/>
      <c r="L25" s="87"/>
      <c r="M25" s="86"/>
      <c r="N25" s="20" t="str">
        <f t="shared" si="23"/>
        <v/>
      </c>
      <c r="O25" s="9">
        <f t="shared" si="24"/>
        <v>0</v>
      </c>
      <c r="P25" s="9">
        <f t="shared" si="0"/>
        <v>0</v>
      </c>
      <c r="Q25" s="9">
        <f t="shared" si="1"/>
        <v>0</v>
      </c>
      <c r="R25" s="24" t="str">
        <f t="shared" si="2"/>
        <v/>
      </c>
      <c r="S25" s="36"/>
      <c r="T25" s="88"/>
      <c r="U25" s="86"/>
      <c r="V25" s="20" t="str">
        <f t="shared" si="3"/>
        <v/>
      </c>
      <c r="W25" s="9" t="str">
        <f t="shared" si="4"/>
        <v/>
      </c>
      <c r="X25" s="9" t="str">
        <f t="shared" ca="1" si="5"/>
        <v/>
      </c>
      <c r="Y25" s="9" t="str">
        <f t="shared" si="6"/>
        <v/>
      </c>
      <c r="Z25" s="9" t="str">
        <f t="shared" si="7"/>
        <v/>
      </c>
      <c r="AA25" s="74">
        <f t="shared" si="8"/>
        <v>44849</v>
      </c>
      <c r="AB25" s="35">
        <f t="shared" si="9"/>
        <v>0</v>
      </c>
      <c r="AC25" s="35">
        <f t="shared" si="10"/>
        <v>100000000</v>
      </c>
      <c r="AD25" s="15">
        <f t="shared" ca="1" si="11"/>
        <v>-131643.83561643836</v>
      </c>
      <c r="AE25" s="15">
        <f t="shared" si="12"/>
        <v>-127397.26027397258</v>
      </c>
      <c r="AF25" s="34">
        <f t="shared" si="13"/>
        <v>31</v>
      </c>
      <c r="AH25" s="34">
        <v>19</v>
      </c>
      <c r="AI25" s="25">
        <f t="shared" si="25"/>
        <v>19</v>
      </c>
      <c r="AJ25" s="26">
        <f t="shared" si="16"/>
        <v>44880</v>
      </c>
      <c r="AK25" s="27">
        <f t="shared" si="17"/>
        <v>100000000</v>
      </c>
      <c r="AL25" s="118">
        <f>IF(OR(torlesztes="Egyedi",torlesztes="Annuitás"),-SUMIFS(U$7:U$46,T$7:T$46,"&gt;"&amp;AJ24,T$7:T$46,"&lt;="&amp;AJ25),IFERROR(IF(torlesztes="Egyenlő tőke",IF(COUNT($AK$7:AK25)&gt;$D$15,"",-$AK$5/$D$15),0),""))</f>
        <v>0</v>
      </c>
      <c r="AM25" s="27">
        <f t="shared" ca="1" si="18"/>
        <v>-131643.83561643836</v>
      </c>
      <c r="AN25" s="27">
        <f t="shared" si="19"/>
        <v>100000000</v>
      </c>
      <c r="AO25" s="27">
        <f>IF(OR(torlesztes="Egyedi",torlesztes="Annuitás"),-SUMIFS(U$7:U$46,T$7:T$46,"&gt;"&amp;AJ24,T$7:T$46,"&lt;="&amp;AJ25),IFERROR(IF(torlesztes="Egyenlő tőke",IF(COUNT($AN$7:AN25)&gt;$D$15,"",-$AK$5/$D$15),0),""))</f>
        <v>0</v>
      </c>
      <c r="AP25" s="27">
        <f t="shared" si="20"/>
        <v>-127397.26027397258</v>
      </c>
      <c r="AR25" s="27">
        <f t="shared" ca="1" si="21"/>
        <v>4246.5753424657742</v>
      </c>
      <c r="AS25" s="27">
        <f t="shared" ca="1" si="22"/>
        <v>4060.4474137588199</v>
      </c>
      <c r="AT25" s="34">
        <f t="shared" si="14"/>
        <v>31</v>
      </c>
    </row>
    <row r="26" spans="1:46" ht="15.75" customHeight="1" x14ac:dyDescent="0.25">
      <c r="B26" s="107" t="s">
        <v>283</v>
      </c>
      <c r="C26" s="75">
        <v>44331</v>
      </c>
      <c r="E26" s="37"/>
      <c r="F26" s="34"/>
      <c r="H26"/>
      <c r="I26"/>
      <c r="J26" s="33" t="b">
        <f t="shared" si="15"/>
        <v>0</v>
      </c>
      <c r="K26" s="33"/>
      <c r="L26" s="87"/>
      <c r="M26" s="86"/>
      <c r="N26" s="20" t="str">
        <f t="shared" si="23"/>
        <v/>
      </c>
      <c r="O26" s="9">
        <f t="shared" si="24"/>
        <v>0</v>
      </c>
      <c r="P26" s="9">
        <f t="shared" si="0"/>
        <v>0</v>
      </c>
      <c r="Q26" s="9">
        <f t="shared" si="1"/>
        <v>0</v>
      </c>
      <c r="R26" s="24" t="str">
        <f t="shared" si="2"/>
        <v/>
      </c>
      <c r="S26" s="36"/>
      <c r="T26" s="88"/>
      <c r="U26" s="86"/>
      <c r="V26" s="20" t="str">
        <f t="shared" si="3"/>
        <v/>
      </c>
      <c r="W26" s="9" t="str">
        <f t="shared" si="4"/>
        <v/>
      </c>
      <c r="X26" s="9" t="str">
        <f t="shared" ca="1" si="5"/>
        <v/>
      </c>
      <c r="Y26" s="9" t="str">
        <f t="shared" si="6"/>
        <v/>
      </c>
      <c r="Z26" s="9" t="str">
        <f t="shared" si="7"/>
        <v/>
      </c>
      <c r="AA26" s="74">
        <f t="shared" si="8"/>
        <v>44880</v>
      </c>
      <c r="AB26" s="35">
        <f t="shared" si="9"/>
        <v>0</v>
      </c>
      <c r="AC26" s="35">
        <f t="shared" si="10"/>
        <v>100000000</v>
      </c>
      <c r="AD26" s="15">
        <f t="shared" ca="1" si="11"/>
        <v>-127397.2602739726</v>
      </c>
      <c r="AE26" s="15">
        <f t="shared" si="12"/>
        <v>-123287.6712328767</v>
      </c>
      <c r="AF26" s="34">
        <f t="shared" si="13"/>
        <v>30</v>
      </c>
      <c r="AH26" s="34">
        <v>20</v>
      </c>
      <c r="AI26" s="25">
        <f t="shared" si="25"/>
        <v>20</v>
      </c>
      <c r="AJ26" s="26">
        <f t="shared" si="16"/>
        <v>44910</v>
      </c>
      <c r="AK26" s="27">
        <f t="shared" si="17"/>
        <v>100000000</v>
      </c>
      <c r="AL26" s="118">
        <f>IF(OR(torlesztes="Egyedi",torlesztes="Annuitás"),-SUMIFS(U$7:U$46,T$7:T$46,"&gt;"&amp;AJ25,T$7:T$46,"&lt;="&amp;AJ26),IFERROR(IF(torlesztes="Egyenlő tőke",IF(COUNT($AK$7:AK26)&gt;$D$15,"",-$AK$5/$D$15),0),""))</f>
        <v>0</v>
      </c>
      <c r="AM26" s="27">
        <f t="shared" ca="1" si="18"/>
        <v>-127397.2602739726</v>
      </c>
      <c r="AN26" s="27">
        <f t="shared" si="19"/>
        <v>100000000</v>
      </c>
      <c r="AO26" s="27">
        <f>IF(OR(torlesztes="Egyedi",torlesztes="Annuitás"),-SUMIFS(U$7:U$46,T$7:T$46,"&gt;"&amp;AJ25,T$7:T$46,"&lt;="&amp;AJ26),IFERROR(IF(torlesztes="Egyenlő tőke",IF(COUNT($AN$7:AN26)&gt;$D$15,"",-$AK$5/$D$15),0),""))</f>
        <v>0</v>
      </c>
      <c r="AP26" s="27">
        <f t="shared" si="20"/>
        <v>-123287.6712328767</v>
      </c>
      <c r="AR26" s="27">
        <f t="shared" ca="1" si="21"/>
        <v>4109.5890410958964</v>
      </c>
      <c r="AS26" s="27">
        <f t="shared" ca="1" si="22"/>
        <v>3923.5798693174479</v>
      </c>
      <c r="AT26" s="34">
        <f t="shared" si="14"/>
        <v>30</v>
      </c>
    </row>
    <row r="27" spans="1:46" x14ac:dyDescent="0.25">
      <c r="B27" s="84" t="str">
        <f>IF(C27&gt;EDATE(C25,120),"A futamidő nem haladhatja meg a 10 évet","Hitel végső lejáratának várható dátuma")</f>
        <v>Hitel végső lejáratának várható dátuma</v>
      </c>
      <c r="C27" s="76">
        <v>47633</v>
      </c>
      <c r="E27" s="37"/>
      <c r="H27"/>
      <c r="I27"/>
      <c r="J27" s="33" t="b">
        <f t="shared" si="15"/>
        <v>0</v>
      </c>
      <c r="K27" s="33"/>
      <c r="L27" s="87"/>
      <c r="M27" s="86"/>
      <c r="N27" s="20" t="str">
        <f t="shared" si="23"/>
        <v/>
      </c>
      <c r="O27" s="9">
        <f t="shared" si="24"/>
        <v>0</v>
      </c>
      <c r="P27" s="9">
        <f t="shared" si="0"/>
        <v>0</v>
      </c>
      <c r="Q27" s="9">
        <f t="shared" si="1"/>
        <v>0</v>
      </c>
      <c r="R27" s="24" t="str">
        <f t="shared" si="2"/>
        <v/>
      </c>
      <c r="S27" s="36"/>
      <c r="T27" s="88"/>
      <c r="U27" s="86"/>
      <c r="V27" s="20" t="str">
        <f t="shared" si="3"/>
        <v/>
      </c>
      <c r="W27" s="9" t="str">
        <f t="shared" si="4"/>
        <v/>
      </c>
      <c r="X27" s="9" t="str">
        <f t="shared" ca="1" si="5"/>
        <v/>
      </c>
      <c r="Y27" s="9" t="str">
        <f t="shared" si="6"/>
        <v/>
      </c>
      <c r="Z27" s="9" t="str">
        <f t="shared" si="7"/>
        <v/>
      </c>
      <c r="AA27" s="74">
        <f t="shared" si="8"/>
        <v>44910</v>
      </c>
      <c r="AB27" s="35">
        <f t="shared" si="9"/>
        <v>0</v>
      </c>
      <c r="AC27" s="35">
        <f t="shared" si="10"/>
        <v>100000000</v>
      </c>
      <c r="AD27" s="15">
        <f t="shared" ca="1" si="11"/>
        <v>-131643.83561643836</v>
      </c>
      <c r="AE27" s="15">
        <f t="shared" si="12"/>
        <v>-127397.26027397258</v>
      </c>
      <c r="AF27" s="34">
        <f t="shared" si="13"/>
        <v>31</v>
      </c>
      <c r="AH27" s="34">
        <v>21</v>
      </c>
      <c r="AI27" s="25">
        <f t="shared" si="25"/>
        <v>21</v>
      </c>
      <c r="AJ27" s="26">
        <f t="shared" si="16"/>
        <v>44941</v>
      </c>
      <c r="AK27" s="27">
        <f t="shared" si="17"/>
        <v>100000000</v>
      </c>
      <c r="AL27" s="118">
        <f>IF(OR(torlesztes="Egyedi",torlesztes="Annuitás"),-SUMIFS(U$7:U$46,T$7:T$46,"&gt;"&amp;AJ26,T$7:T$46,"&lt;="&amp;AJ27),IFERROR(IF(torlesztes="Egyenlő tőke",IF(COUNT($AK$7:AK27)&gt;$D$15,"",-$AK$5/$D$15),0),""))</f>
        <v>0</v>
      </c>
      <c r="AM27" s="27">
        <f t="shared" ca="1" si="18"/>
        <v>-131643.83561643836</v>
      </c>
      <c r="AN27" s="27">
        <f t="shared" si="19"/>
        <v>100000000</v>
      </c>
      <c r="AO27" s="27">
        <f>IF(OR(torlesztes="Egyedi",torlesztes="Annuitás"),-SUMIFS(U$7:U$46,T$7:T$46,"&gt;"&amp;AJ26,T$7:T$46,"&lt;="&amp;AJ27),IFERROR(IF(torlesztes="Egyenlő tőke",IF(COUNT($AN$7:AN27)&gt;$D$15,"",-$AK$5/$D$15),0),""))</f>
        <v>0</v>
      </c>
      <c r="AP27" s="27">
        <f t="shared" si="20"/>
        <v>-127397.26027397258</v>
      </c>
      <c r="AR27" s="27">
        <f t="shared" ca="1" si="21"/>
        <v>4246.5753424657742</v>
      </c>
      <c r="AS27" s="27">
        <f t="shared" ca="1" si="22"/>
        <v>4048.2934248241399</v>
      </c>
      <c r="AT27" s="34">
        <f t="shared" si="14"/>
        <v>31</v>
      </c>
    </row>
    <row r="28" spans="1:46" x14ac:dyDescent="0.25">
      <c r="B28" s="84" t="s">
        <v>293</v>
      </c>
      <c r="C28" s="116">
        <f>IF(C21="EUR",0.005,0.015)</f>
        <v>1.4999999999999999E-2</v>
      </c>
      <c r="D28" s="29"/>
      <c r="E28" s="46"/>
      <c r="H28"/>
      <c r="I28"/>
      <c r="J28" s="33" t="b">
        <f t="shared" si="15"/>
        <v>0</v>
      </c>
      <c r="K28" s="33"/>
      <c r="L28" s="87"/>
      <c r="M28" s="86"/>
      <c r="N28" s="20" t="str">
        <f t="shared" si="23"/>
        <v/>
      </c>
      <c r="O28" s="9">
        <f t="shared" si="24"/>
        <v>0</v>
      </c>
      <c r="P28" s="9">
        <f t="shared" si="0"/>
        <v>0</v>
      </c>
      <c r="Q28" s="9">
        <f t="shared" si="1"/>
        <v>0</v>
      </c>
      <c r="R28" s="24" t="str">
        <f t="shared" si="2"/>
        <v/>
      </c>
      <c r="S28" s="36"/>
      <c r="T28" s="88"/>
      <c r="U28" s="86"/>
      <c r="V28" s="20" t="str">
        <f t="shared" si="3"/>
        <v/>
      </c>
      <c r="W28" s="9" t="str">
        <f t="shared" si="4"/>
        <v/>
      </c>
      <c r="X28" s="9" t="str">
        <f t="shared" ca="1" si="5"/>
        <v/>
      </c>
      <c r="Y28" s="9" t="str">
        <f t="shared" si="6"/>
        <v/>
      </c>
      <c r="Z28" s="9" t="str">
        <f t="shared" si="7"/>
        <v/>
      </c>
      <c r="AA28" s="74">
        <f t="shared" si="8"/>
        <v>44941</v>
      </c>
      <c r="AB28" s="35">
        <f t="shared" si="9"/>
        <v>0</v>
      </c>
      <c r="AC28" s="35">
        <f t="shared" si="10"/>
        <v>100000000</v>
      </c>
      <c r="AD28" s="15">
        <f t="shared" ca="1" si="11"/>
        <v>-131643.83561643836</v>
      </c>
      <c r="AE28" s="15">
        <f t="shared" si="12"/>
        <v>-127397.26027397258</v>
      </c>
      <c r="AF28" s="34">
        <f t="shared" si="13"/>
        <v>31</v>
      </c>
      <c r="AH28" s="34">
        <v>22</v>
      </c>
      <c r="AI28" s="25">
        <f t="shared" si="25"/>
        <v>22</v>
      </c>
      <c r="AJ28" s="26">
        <f t="shared" si="16"/>
        <v>44972</v>
      </c>
      <c r="AK28" s="27">
        <f t="shared" si="17"/>
        <v>100000000</v>
      </c>
      <c r="AL28" s="118">
        <f>IF(OR(torlesztes="Egyedi",torlesztes="Annuitás"),-SUMIFS(U$7:U$46,T$7:T$46,"&gt;"&amp;AJ27,T$7:T$46,"&lt;="&amp;AJ28),IFERROR(IF(torlesztes="Egyenlő tőke",IF(COUNT($AK$7:AK28)&gt;$D$15,"",-$AK$5/$D$15),0),""))</f>
        <v>0</v>
      </c>
      <c r="AM28" s="27">
        <f t="shared" ca="1" si="18"/>
        <v>-131643.83561643836</v>
      </c>
      <c r="AN28" s="27">
        <f t="shared" si="19"/>
        <v>100000000</v>
      </c>
      <c r="AO28" s="27">
        <f>IF(OR(torlesztes="Egyedi",torlesztes="Annuitás"),-SUMIFS(U$7:U$46,T$7:T$46,"&gt;"&amp;AJ27,T$7:T$46,"&lt;="&amp;AJ28),IFERROR(IF(torlesztes="Egyenlő tőke",IF(COUNT($AN$7:AN28)&gt;$D$15,"",-$AK$5/$D$15),0),""))</f>
        <v>0</v>
      </c>
      <c r="AP28" s="27">
        <f t="shared" si="20"/>
        <v>-127397.26027397258</v>
      </c>
      <c r="AR28" s="27">
        <f t="shared" ca="1" si="21"/>
        <v>4246.5753424657742</v>
      </c>
      <c r="AS28" s="27">
        <f t="shared" ca="1" si="22"/>
        <v>4042.2300797045827</v>
      </c>
      <c r="AT28" s="34">
        <f t="shared" si="14"/>
        <v>31</v>
      </c>
    </row>
    <row r="29" spans="1:46" x14ac:dyDescent="0.25">
      <c r="B29" s="84" t="s">
        <v>281</v>
      </c>
      <c r="C29" s="70" t="s">
        <v>17</v>
      </c>
      <c r="E29" s="46"/>
      <c r="J29" s="33" t="b">
        <f t="shared" si="15"/>
        <v>0</v>
      </c>
      <c r="K29" s="33"/>
      <c r="L29" s="87"/>
      <c r="M29" s="86"/>
      <c r="N29" s="20" t="str">
        <f t="shared" si="23"/>
        <v/>
      </c>
      <c r="O29" s="9">
        <f t="shared" si="24"/>
        <v>0</v>
      </c>
      <c r="P29" s="9">
        <f t="shared" si="0"/>
        <v>0</v>
      </c>
      <c r="Q29" s="9">
        <f t="shared" si="1"/>
        <v>0</v>
      </c>
      <c r="R29" s="24" t="str">
        <f t="shared" si="2"/>
        <v/>
      </c>
      <c r="S29" s="36"/>
      <c r="T29" s="88"/>
      <c r="U29" s="86"/>
      <c r="V29" s="20" t="str">
        <f t="shared" si="3"/>
        <v/>
      </c>
      <c r="W29" s="9" t="str">
        <f t="shared" si="4"/>
        <v/>
      </c>
      <c r="X29" s="9" t="str">
        <f t="shared" ca="1" si="5"/>
        <v/>
      </c>
      <c r="Y29" s="9" t="str">
        <f t="shared" si="6"/>
        <v/>
      </c>
      <c r="Z29" s="9" t="str">
        <f t="shared" si="7"/>
        <v/>
      </c>
      <c r="AA29" s="74">
        <f t="shared" si="8"/>
        <v>44972</v>
      </c>
      <c r="AB29" s="35">
        <f t="shared" si="9"/>
        <v>0</v>
      </c>
      <c r="AC29" s="35">
        <f t="shared" si="10"/>
        <v>100000000</v>
      </c>
      <c r="AD29" s="15">
        <f t="shared" ca="1" si="11"/>
        <v>-118904.10958904109</v>
      </c>
      <c r="AE29" s="15">
        <f t="shared" si="12"/>
        <v>-115068.49315068492</v>
      </c>
      <c r="AF29" s="34">
        <f t="shared" si="13"/>
        <v>28</v>
      </c>
      <c r="AH29" s="34">
        <v>23</v>
      </c>
      <c r="AI29" s="25">
        <f>IF(COUNT(AJ29)=1,AI28+1,"")</f>
        <v>23</v>
      </c>
      <c r="AJ29" s="26">
        <f t="shared" si="16"/>
        <v>45000</v>
      </c>
      <c r="AK29" s="27">
        <f t="shared" si="17"/>
        <v>100000000</v>
      </c>
      <c r="AL29" s="118">
        <f>IF(OR(torlesztes="Egyedi",torlesztes="Annuitás"),-SUMIFS(U$7:U$46,T$7:T$46,"&gt;"&amp;AJ28,T$7:T$46,"&lt;="&amp;AJ29),IFERROR(IF(torlesztes="Egyenlő tőke",IF(COUNT($AK$7:AK29)&gt;$D$15,"",-$AK$5/$D$15),0),""))</f>
        <v>0</v>
      </c>
      <c r="AM29" s="27">
        <f t="shared" ca="1" si="18"/>
        <v>-118904.10958904109</v>
      </c>
      <c r="AN29" s="27">
        <f t="shared" si="19"/>
        <v>100000000</v>
      </c>
      <c r="AO29" s="27">
        <f>IF(OR(torlesztes="Egyedi",torlesztes="Annuitás"),-SUMIFS(U$7:U$46,T$7:T$46,"&gt;"&amp;AJ28,T$7:T$46,"&lt;="&amp;AJ29),IFERROR(IF(torlesztes="Egyenlő tőke",IF(COUNT($AN$7:AN29)&gt;$D$15,"",-$AK$5/$D$15),0),""))</f>
        <v>0</v>
      </c>
      <c r="AP29" s="27">
        <f t="shared" si="20"/>
        <v>-115068.49315068492</v>
      </c>
      <c r="AR29" s="27">
        <f t="shared" ca="1" si="21"/>
        <v>3835.61643835617</v>
      </c>
      <c r="AS29" s="27">
        <f t="shared" ca="1" si="22"/>
        <v>3645.5781563695728</v>
      </c>
      <c r="AT29" s="34">
        <f t="shared" si="14"/>
        <v>28</v>
      </c>
    </row>
    <row r="30" spans="1:46" x14ac:dyDescent="0.25">
      <c r="B30" s="108" t="str">
        <f>IF(torlesztes="Egyenlő tőke","Kamatfizetés/tőketörlesztés gyakorisága","Kamatfizetés gyakorisága")</f>
        <v>Kamatfizetés gyakorisága</v>
      </c>
      <c r="C30" s="70" t="s">
        <v>19</v>
      </c>
      <c r="E30" s="37"/>
      <c r="F30" s="34"/>
      <c r="J30" s="33" t="b">
        <f t="shared" si="15"/>
        <v>0</v>
      </c>
      <c r="K30" s="33"/>
      <c r="L30" s="87"/>
      <c r="M30" s="86"/>
      <c r="N30" s="20" t="str">
        <f t="shared" si="23"/>
        <v/>
      </c>
      <c r="O30" s="9">
        <f t="shared" si="24"/>
        <v>0</v>
      </c>
      <c r="P30" s="9">
        <f t="shared" si="0"/>
        <v>0</v>
      </c>
      <c r="Q30" s="9">
        <f t="shared" si="1"/>
        <v>0</v>
      </c>
      <c r="R30" s="24" t="str">
        <f t="shared" si="2"/>
        <v/>
      </c>
      <c r="S30" s="36"/>
      <c r="T30" s="88"/>
      <c r="U30" s="86"/>
      <c r="V30" s="20" t="str">
        <f t="shared" si="3"/>
        <v/>
      </c>
      <c r="W30" s="9" t="str">
        <f t="shared" si="4"/>
        <v/>
      </c>
      <c r="X30" s="9" t="str">
        <f t="shared" ca="1" si="5"/>
        <v/>
      </c>
      <c r="Y30" s="9" t="str">
        <f t="shared" si="6"/>
        <v/>
      </c>
      <c r="Z30" s="9" t="str">
        <f t="shared" si="7"/>
        <v/>
      </c>
      <c r="AA30" s="74">
        <f t="shared" si="8"/>
        <v>45000</v>
      </c>
      <c r="AB30" s="35">
        <f t="shared" si="9"/>
        <v>0</v>
      </c>
      <c r="AC30" s="35">
        <f t="shared" si="10"/>
        <v>100000000</v>
      </c>
      <c r="AD30" s="15">
        <f t="shared" ca="1" si="11"/>
        <v>-131643.83561643836</v>
      </c>
      <c r="AE30" s="15">
        <f t="shared" si="12"/>
        <v>-127397.26027397258</v>
      </c>
      <c r="AF30" s="34">
        <f t="shared" si="13"/>
        <v>31</v>
      </c>
      <c r="AH30" s="34">
        <v>24</v>
      </c>
      <c r="AI30" s="25">
        <f t="shared" si="25"/>
        <v>24</v>
      </c>
      <c r="AJ30" s="26">
        <f t="shared" si="16"/>
        <v>45031</v>
      </c>
      <c r="AK30" s="27">
        <f t="shared" si="17"/>
        <v>100000000</v>
      </c>
      <c r="AL30" s="118">
        <f>IF(OR(torlesztes="Egyedi",torlesztes="Annuitás"),-SUMIFS(U$7:U$46,T$7:T$46,"&gt;"&amp;AJ29,T$7:T$46,"&lt;="&amp;AJ30),IFERROR(IF(torlesztes="Egyenlő tőke",IF(COUNT($AK$7:AK30)&gt;$D$15,"",-$AK$5/$D$15),0),""))</f>
        <v>0</v>
      </c>
      <c r="AM30" s="27">
        <f t="shared" ca="1" si="18"/>
        <v>-131643.83561643836</v>
      </c>
      <c r="AN30" s="27">
        <f t="shared" si="19"/>
        <v>100000000</v>
      </c>
      <c r="AO30" s="27">
        <f>IF(OR(torlesztes="Egyedi",torlesztes="Annuitás"),-SUMIFS(U$7:U$46,T$7:T$46,"&gt;"&amp;AJ29,T$7:T$46,"&lt;="&amp;AJ30),IFERROR(IF(torlesztes="Egyenlő tőke",IF(COUNT($AN$7:AN30)&gt;$D$15,"",-$AK$5/$D$15),0),""))</f>
        <v>0</v>
      </c>
      <c r="AP30" s="27">
        <f t="shared" si="20"/>
        <v>-127397.26027397258</v>
      </c>
      <c r="AR30" s="27">
        <f t="shared" ca="1" si="21"/>
        <v>4246.5753424657742</v>
      </c>
      <c r="AS30" s="27">
        <f t="shared" ca="1" si="22"/>
        <v>4030.1306200505351</v>
      </c>
      <c r="AT30" s="34">
        <f t="shared" si="14"/>
        <v>31</v>
      </c>
    </row>
    <row r="31" spans="1:46" ht="18" customHeight="1" x14ac:dyDescent="0.25">
      <c r="B31" s="109" t="s">
        <v>316</v>
      </c>
      <c r="C31" s="42"/>
      <c r="E31" s="37"/>
      <c r="F31" s="34"/>
      <c r="J31" s="33" t="b">
        <f t="shared" si="15"/>
        <v>0</v>
      </c>
      <c r="K31" s="33"/>
      <c r="L31" s="87"/>
      <c r="M31" s="86"/>
      <c r="N31" s="20" t="str">
        <f t="shared" si="23"/>
        <v/>
      </c>
      <c r="O31" s="9">
        <f t="shared" si="24"/>
        <v>0</v>
      </c>
      <c r="P31" s="9">
        <f t="shared" si="0"/>
        <v>0</v>
      </c>
      <c r="Q31" s="9">
        <f t="shared" si="1"/>
        <v>0</v>
      </c>
      <c r="R31" s="24" t="str">
        <f t="shared" si="2"/>
        <v/>
      </c>
      <c r="S31" s="36"/>
      <c r="T31" s="88"/>
      <c r="U31" s="86"/>
      <c r="V31" s="20" t="str">
        <f t="shared" si="3"/>
        <v/>
      </c>
      <c r="W31" s="9" t="str">
        <f t="shared" si="4"/>
        <v/>
      </c>
      <c r="X31" s="9" t="str">
        <f t="shared" ca="1" si="5"/>
        <v/>
      </c>
      <c r="Y31" s="9" t="str">
        <f t="shared" si="6"/>
        <v/>
      </c>
      <c r="Z31" s="9" t="str">
        <f t="shared" si="7"/>
        <v/>
      </c>
      <c r="AA31" s="74">
        <f t="shared" si="8"/>
        <v>45031</v>
      </c>
      <c r="AB31" s="35">
        <f t="shared" si="9"/>
        <v>0</v>
      </c>
      <c r="AC31" s="35">
        <f t="shared" si="10"/>
        <v>100000000</v>
      </c>
      <c r="AD31" s="15">
        <f t="shared" ca="1" si="11"/>
        <v>-127397.2602739726</v>
      </c>
      <c r="AE31" s="15">
        <f t="shared" si="12"/>
        <v>-123287.6712328767</v>
      </c>
      <c r="AF31" s="34">
        <f t="shared" si="13"/>
        <v>30</v>
      </c>
      <c r="AH31" s="34">
        <v>25</v>
      </c>
      <c r="AI31" s="25">
        <f t="shared" si="25"/>
        <v>25</v>
      </c>
      <c r="AJ31" s="26">
        <f t="shared" si="16"/>
        <v>45061</v>
      </c>
      <c r="AK31" s="27">
        <f t="shared" si="17"/>
        <v>100000000</v>
      </c>
      <c r="AL31" s="118">
        <f>IF(OR(torlesztes="Egyedi",torlesztes="Annuitás"),-SUMIFS(U$7:U$46,T$7:T$46,"&gt;"&amp;AJ30,T$7:T$46,"&lt;="&amp;AJ31),IFERROR(IF(torlesztes="Egyenlő tőke",IF(COUNT($AK$7:AK31)&gt;$D$15,"",-$AK$5/$D$15),0),""))</f>
        <v>0</v>
      </c>
      <c r="AM31" s="27">
        <f t="shared" ca="1" si="18"/>
        <v>-127397.2602739726</v>
      </c>
      <c r="AN31" s="27">
        <f t="shared" si="19"/>
        <v>100000000</v>
      </c>
      <c r="AO31" s="27">
        <f>IF(OR(torlesztes="Egyedi",torlesztes="Annuitás"),-SUMIFS(U$7:U$46,T$7:T$46,"&gt;"&amp;AJ30,T$7:T$46,"&lt;="&amp;AJ31),IFERROR(IF(torlesztes="Egyenlő tőke",IF(COUNT($AN$7:AN31)&gt;$D$15,"",-$AK$5/$D$15),0),""))</f>
        <v>0</v>
      </c>
      <c r="AP31" s="27">
        <f t="shared" si="20"/>
        <v>-123287.6712328767</v>
      </c>
      <c r="AR31" s="27">
        <f t="shared" ca="1" si="21"/>
        <v>4109.5890410958964</v>
      </c>
      <c r="AS31" s="27">
        <f t="shared" ca="1" si="22"/>
        <v>3894.2849790319565</v>
      </c>
      <c r="AT31" s="34">
        <f t="shared" si="14"/>
        <v>30</v>
      </c>
    </row>
    <row r="32" spans="1:46" x14ac:dyDescent="0.25">
      <c r="B32" s="110" t="s">
        <v>298</v>
      </c>
      <c r="C32" s="97">
        <v>100000</v>
      </c>
      <c r="E32" s="37"/>
      <c r="J32" s="33" t="b">
        <f t="shared" si="15"/>
        <v>0</v>
      </c>
      <c r="K32" s="33"/>
      <c r="L32" s="87"/>
      <c r="M32" s="86"/>
      <c r="N32" s="20" t="str">
        <f t="shared" si="23"/>
        <v/>
      </c>
      <c r="O32" s="9">
        <f t="shared" si="24"/>
        <v>0</v>
      </c>
      <c r="P32" s="9">
        <f t="shared" si="0"/>
        <v>0</v>
      </c>
      <c r="Q32" s="9">
        <f t="shared" si="1"/>
        <v>0</v>
      </c>
      <c r="R32" s="24" t="str">
        <f t="shared" si="2"/>
        <v/>
      </c>
      <c r="S32" s="36"/>
      <c r="T32" s="88"/>
      <c r="U32" s="86"/>
      <c r="V32" s="20" t="str">
        <f t="shared" si="3"/>
        <v/>
      </c>
      <c r="W32" s="9" t="str">
        <f t="shared" si="4"/>
        <v/>
      </c>
      <c r="X32" s="9" t="str">
        <f t="shared" ca="1" si="5"/>
        <v/>
      </c>
      <c r="Y32" s="9" t="str">
        <f t="shared" si="6"/>
        <v/>
      </c>
      <c r="Z32" s="9" t="str">
        <f t="shared" si="7"/>
        <v/>
      </c>
      <c r="AA32" s="74">
        <f t="shared" si="8"/>
        <v>45061</v>
      </c>
      <c r="AB32" s="35">
        <f t="shared" si="9"/>
        <v>0</v>
      </c>
      <c r="AC32" s="35">
        <f t="shared" si="10"/>
        <v>100000000</v>
      </c>
      <c r="AD32" s="15">
        <f t="shared" ca="1" si="11"/>
        <v>-131643.83561643836</v>
      </c>
      <c r="AE32" s="15">
        <f t="shared" si="12"/>
        <v>-127397.26027397258</v>
      </c>
      <c r="AF32" s="34">
        <f t="shared" si="13"/>
        <v>31</v>
      </c>
      <c r="AH32" s="34">
        <v>26</v>
      </c>
      <c r="AI32" s="25">
        <f t="shared" si="25"/>
        <v>26</v>
      </c>
      <c r="AJ32" s="26">
        <f t="shared" si="16"/>
        <v>45092</v>
      </c>
      <c r="AK32" s="27">
        <f t="shared" si="17"/>
        <v>100000000</v>
      </c>
      <c r="AL32" s="118">
        <f>IF(OR(torlesztes="Egyedi",torlesztes="Annuitás"),-SUMIFS(U$7:U$46,T$7:T$46,"&gt;"&amp;AJ31,T$7:T$46,"&lt;="&amp;AJ32),IFERROR(IF(torlesztes="Egyenlő tőke",IF(COUNT($AK$7:AK32)&gt;$D$15,"",-$AK$5/$D$15),0),""))</f>
        <v>0</v>
      </c>
      <c r="AM32" s="27">
        <f t="shared" ca="1" si="18"/>
        <v>-131643.83561643836</v>
      </c>
      <c r="AN32" s="27">
        <f t="shared" si="19"/>
        <v>100000000</v>
      </c>
      <c r="AO32" s="27">
        <f>IF(OR(torlesztes="Egyedi",torlesztes="Annuitás"),-SUMIFS(U$7:U$46,T$7:T$46,"&gt;"&amp;AJ31,T$7:T$46,"&lt;="&amp;AJ32),IFERROR(IF(torlesztes="Egyenlő tőke",IF(COUNT($AN$7:AN32)&gt;$D$15,"",-$AK$5/$D$15),0),""))</f>
        <v>0</v>
      </c>
      <c r="AP32" s="27">
        <f t="shared" si="20"/>
        <v>-127397.26027397258</v>
      </c>
      <c r="AR32" s="27">
        <f t="shared" ca="1" si="21"/>
        <v>4246.5753424657742</v>
      </c>
      <c r="AS32" s="27">
        <f t="shared" ca="1" si="22"/>
        <v>4018.0673772671335</v>
      </c>
      <c r="AT32" s="34">
        <f t="shared" si="14"/>
        <v>31</v>
      </c>
    </row>
    <row r="33" spans="1:46" x14ac:dyDescent="0.25">
      <c r="B33" s="110" t="s">
        <v>299</v>
      </c>
      <c r="C33" s="97"/>
      <c r="E33" s="37"/>
      <c r="J33" s="33" t="b">
        <f t="shared" si="15"/>
        <v>0</v>
      </c>
      <c r="K33" s="33"/>
      <c r="L33" s="87"/>
      <c r="M33" s="86"/>
      <c r="N33" s="20" t="str">
        <f t="shared" si="23"/>
        <v/>
      </c>
      <c r="O33" s="9">
        <f t="shared" si="24"/>
        <v>0</v>
      </c>
      <c r="P33" s="9">
        <f t="shared" si="0"/>
        <v>0</v>
      </c>
      <c r="Q33" s="9">
        <f t="shared" si="1"/>
        <v>0</v>
      </c>
      <c r="R33" s="24" t="str">
        <f t="shared" si="2"/>
        <v/>
      </c>
      <c r="S33" s="36"/>
      <c r="T33" s="88"/>
      <c r="U33" s="86"/>
      <c r="V33" s="20" t="str">
        <f t="shared" si="3"/>
        <v/>
      </c>
      <c r="W33" s="9" t="str">
        <f t="shared" si="4"/>
        <v/>
      </c>
      <c r="X33" s="9" t="str">
        <f t="shared" ca="1" si="5"/>
        <v/>
      </c>
      <c r="Y33" s="9" t="str">
        <f t="shared" si="6"/>
        <v/>
      </c>
      <c r="Z33" s="9" t="str">
        <f t="shared" si="7"/>
        <v/>
      </c>
      <c r="AA33" s="74">
        <f t="shared" si="8"/>
        <v>45092</v>
      </c>
      <c r="AB33" s="35">
        <f t="shared" si="9"/>
        <v>0</v>
      </c>
      <c r="AC33" s="35">
        <f t="shared" si="10"/>
        <v>100000000</v>
      </c>
      <c r="AD33" s="15">
        <f t="shared" ca="1" si="11"/>
        <v>-127397.2602739726</v>
      </c>
      <c r="AE33" s="15">
        <f t="shared" si="12"/>
        <v>-123287.6712328767</v>
      </c>
      <c r="AF33" s="34">
        <f t="shared" si="13"/>
        <v>30</v>
      </c>
      <c r="AH33" s="34">
        <v>27</v>
      </c>
      <c r="AI33" s="25">
        <f t="shared" si="25"/>
        <v>27</v>
      </c>
      <c r="AJ33" s="26">
        <f t="shared" si="16"/>
        <v>45122</v>
      </c>
      <c r="AK33" s="27">
        <f t="shared" si="17"/>
        <v>100000000</v>
      </c>
      <c r="AL33" s="118">
        <f>IF(OR(torlesztes="Egyedi",torlesztes="Annuitás"),-SUMIFS(U$7:U$46,T$7:T$46,"&gt;"&amp;AJ32,T$7:T$46,"&lt;="&amp;AJ33),IFERROR(IF(torlesztes="Egyenlő tőke",IF(COUNT($AK$7:AK33)&gt;$D$15,"",-$AK$5/$D$15),0),""))</f>
        <v>0</v>
      </c>
      <c r="AM33" s="27">
        <f t="shared" ca="1" si="18"/>
        <v>-127397.2602739726</v>
      </c>
      <c r="AN33" s="27">
        <f t="shared" si="19"/>
        <v>100000000</v>
      </c>
      <c r="AO33" s="27">
        <f>IF(OR(torlesztes="Egyedi",torlesztes="Annuitás"),-SUMIFS(U$7:U$46,T$7:T$46,"&gt;"&amp;AJ32,T$7:T$46,"&lt;="&amp;AJ33),IFERROR(IF(torlesztes="Egyenlő tőke",IF(COUNT($AN$7:AN33)&gt;$D$15,"",-$AK$5/$D$15),0),""))</f>
        <v>0</v>
      </c>
      <c r="AP33" s="27">
        <f t="shared" si="20"/>
        <v>-123287.6712328767</v>
      </c>
      <c r="AR33" s="27">
        <f t="shared" ca="1" si="21"/>
        <v>4109.5890410958964</v>
      </c>
      <c r="AS33" s="27">
        <f t="shared" ca="1" si="22"/>
        <v>3882.6283580440172</v>
      </c>
      <c r="AT33" s="34">
        <f t="shared" si="14"/>
        <v>30</v>
      </c>
    </row>
    <row r="34" spans="1:46" x14ac:dyDescent="0.25">
      <c r="B34" s="110" t="s">
        <v>300</v>
      </c>
      <c r="C34" s="97"/>
      <c r="E34" s="37"/>
      <c r="J34" s="33" t="b">
        <f t="shared" si="15"/>
        <v>0</v>
      </c>
      <c r="K34" s="33"/>
      <c r="L34" s="87"/>
      <c r="M34" s="86"/>
      <c r="N34" s="20" t="str">
        <f t="shared" si="23"/>
        <v/>
      </c>
      <c r="O34" s="9">
        <f t="shared" si="24"/>
        <v>0</v>
      </c>
      <c r="P34" s="9">
        <f t="shared" si="0"/>
        <v>0</v>
      </c>
      <c r="Q34" s="9">
        <f t="shared" si="1"/>
        <v>0</v>
      </c>
      <c r="R34" s="24" t="str">
        <f t="shared" si="2"/>
        <v/>
      </c>
      <c r="S34" s="36"/>
      <c r="T34" s="88"/>
      <c r="U34" s="86"/>
      <c r="V34" s="20" t="str">
        <f t="shared" si="3"/>
        <v/>
      </c>
      <c r="W34" s="9" t="str">
        <f t="shared" si="4"/>
        <v/>
      </c>
      <c r="X34" s="9" t="str">
        <f t="shared" ca="1" si="5"/>
        <v/>
      </c>
      <c r="Y34" s="9" t="str">
        <f t="shared" si="6"/>
        <v/>
      </c>
      <c r="Z34" s="9" t="str">
        <f t="shared" si="7"/>
        <v/>
      </c>
      <c r="AA34" s="74">
        <f t="shared" si="8"/>
        <v>45122</v>
      </c>
      <c r="AB34" s="35">
        <f t="shared" si="9"/>
        <v>0</v>
      </c>
      <c r="AC34" s="35">
        <f t="shared" si="10"/>
        <v>100000000</v>
      </c>
      <c r="AD34" s="15">
        <f t="shared" ca="1" si="11"/>
        <v>-131643.83561643836</v>
      </c>
      <c r="AE34" s="15">
        <f t="shared" si="12"/>
        <v>-127397.26027397258</v>
      </c>
      <c r="AF34" s="34">
        <f t="shared" si="13"/>
        <v>31</v>
      </c>
      <c r="AH34" s="34">
        <v>28</v>
      </c>
      <c r="AI34" s="25">
        <f t="shared" si="25"/>
        <v>28</v>
      </c>
      <c r="AJ34" s="26">
        <f t="shared" si="16"/>
        <v>45153</v>
      </c>
      <c r="AK34" s="27">
        <f t="shared" si="17"/>
        <v>100000000</v>
      </c>
      <c r="AL34" s="118">
        <f>IF(OR(torlesztes="Egyedi",torlesztes="Annuitás"),-SUMIFS(U$7:U$46,T$7:T$46,"&gt;"&amp;AJ33,T$7:T$46,"&lt;="&amp;AJ34),IFERROR(IF(torlesztes="Egyenlő tőke",IF(COUNT($AK$7:AK34)&gt;$D$15,"",-$AK$5/$D$15),0),""))</f>
        <v>0</v>
      </c>
      <c r="AM34" s="27">
        <f t="shared" ca="1" si="18"/>
        <v>-131643.83561643836</v>
      </c>
      <c r="AN34" s="27">
        <f t="shared" si="19"/>
        <v>100000000</v>
      </c>
      <c r="AO34" s="27">
        <f>IF(OR(torlesztes="Egyedi",torlesztes="Annuitás"),-SUMIFS(U$7:U$46,T$7:T$46,"&gt;"&amp;AJ33,T$7:T$46,"&lt;="&amp;AJ34),IFERROR(IF(torlesztes="Egyenlő tőke",IF(COUNT($AN$7:AN34)&gt;$D$15,"",-$AK$5/$D$15),0),""))</f>
        <v>0</v>
      </c>
      <c r="AP34" s="27">
        <f t="shared" si="20"/>
        <v>-127397.26027397258</v>
      </c>
      <c r="AR34" s="27">
        <f t="shared" ca="1" si="21"/>
        <v>4246.5753424657742</v>
      </c>
      <c r="AS34" s="27">
        <f t="shared" ca="1" si="22"/>
        <v>4006.040242947744</v>
      </c>
      <c r="AT34" s="34">
        <f t="shared" si="14"/>
        <v>31</v>
      </c>
    </row>
    <row r="35" spans="1:46" x14ac:dyDescent="0.25">
      <c r="B35" s="110" t="s">
        <v>303</v>
      </c>
      <c r="C35" s="97"/>
      <c r="D35" s="10"/>
      <c r="E35" s="37"/>
      <c r="J35" s="33" t="b">
        <f t="shared" si="15"/>
        <v>0</v>
      </c>
      <c r="K35" s="33"/>
      <c r="L35" s="87"/>
      <c r="M35" s="86"/>
      <c r="N35" s="20" t="str">
        <f t="shared" si="23"/>
        <v/>
      </c>
      <c r="O35" s="9">
        <f t="shared" si="24"/>
        <v>0</v>
      </c>
      <c r="P35" s="9">
        <f t="shared" si="0"/>
        <v>0</v>
      </c>
      <c r="Q35" s="9">
        <f t="shared" si="1"/>
        <v>0</v>
      </c>
      <c r="R35" s="24" t="str">
        <f t="shared" si="2"/>
        <v/>
      </c>
      <c r="S35" s="36"/>
      <c r="T35" s="88"/>
      <c r="U35" s="86"/>
      <c r="V35" s="20" t="str">
        <f t="shared" si="3"/>
        <v/>
      </c>
      <c r="W35" s="9" t="str">
        <f t="shared" si="4"/>
        <v/>
      </c>
      <c r="X35" s="9" t="str">
        <f t="shared" ca="1" si="5"/>
        <v/>
      </c>
      <c r="Y35" s="9" t="str">
        <f t="shared" si="6"/>
        <v/>
      </c>
      <c r="Z35" s="9" t="str">
        <f t="shared" si="7"/>
        <v/>
      </c>
      <c r="AA35" s="74">
        <f t="shared" si="8"/>
        <v>45153</v>
      </c>
      <c r="AB35" s="35">
        <f t="shared" si="9"/>
        <v>0</v>
      </c>
      <c r="AC35" s="35">
        <f t="shared" si="10"/>
        <v>100000000</v>
      </c>
      <c r="AD35" s="15">
        <f t="shared" ca="1" si="11"/>
        <v>-131643.83561643836</v>
      </c>
      <c r="AE35" s="15">
        <f t="shared" si="12"/>
        <v>-127397.26027397258</v>
      </c>
      <c r="AF35" s="34">
        <f t="shared" si="13"/>
        <v>31</v>
      </c>
      <c r="AH35" s="34">
        <v>29</v>
      </c>
      <c r="AI35" s="25">
        <f t="shared" si="25"/>
        <v>29</v>
      </c>
      <c r="AJ35" s="26">
        <f t="shared" si="16"/>
        <v>45184</v>
      </c>
      <c r="AK35" s="27">
        <f t="shared" si="17"/>
        <v>100000000</v>
      </c>
      <c r="AL35" s="118">
        <f>IF(OR(torlesztes="Egyedi",torlesztes="Annuitás"),-SUMIFS(U$7:U$46,T$7:T$46,"&gt;"&amp;AJ34,T$7:T$46,"&lt;="&amp;AJ35),IFERROR(IF(torlesztes="Egyenlő tőke",IF(COUNT($AK$7:AK35)&gt;$D$15,"",-$AK$5/$D$15),0),""))</f>
        <v>0</v>
      </c>
      <c r="AM35" s="27">
        <f t="shared" ca="1" si="18"/>
        <v>-131643.83561643836</v>
      </c>
      <c r="AN35" s="27">
        <f t="shared" si="19"/>
        <v>100000000</v>
      </c>
      <c r="AO35" s="27">
        <f>IF(OR(torlesztes="Egyedi",torlesztes="Annuitás"),-SUMIFS(U$7:U$46,T$7:T$46,"&gt;"&amp;AJ34,T$7:T$46,"&lt;="&amp;AJ35),IFERROR(IF(torlesztes="Egyenlő tőke",IF(COUNT($AN$7:AN35)&gt;$D$15,"",-$AK$5/$D$15),0),""))</f>
        <v>0</v>
      </c>
      <c r="AP35" s="27">
        <f t="shared" si="20"/>
        <v>-127397.26027397258</v>
      </c>
      <c r="AR35" s="27">
        <f t="shared" ca="1" si="21"/>
        <v>4246.5753424657742</v>
      </c>
      <c r="AS35" s="27">
        <f t="shared" ca="1" si="22"/>
        <v>4000.040182673732</v>
      </c>
      <c r="AT35" s="34">
        <f t="shared" si="14"/>
        <v>31</v>
      </c>
    </row>
    <row r="36" spans="1:46" x14ac:dyDescent="0.25">
      <c r="B36" s="110" t="s">
        <v>304</v>
      </c>
      <c r="C36" s="97"/>
      <c r="E36" s="37"/>
      <c r="J36" s="33" t="b">
        <f t="shared" si="15"/>
        <v>0</v>
      </c>
      <c r="K36" s="33"/>
      <c r="L36" s="87"/>
      <c r="M36" s="86"/>
      <c r="N36" s="20" t="str">
        <f t="shared" si="23"/>
        <v/>
      </c>
      <c r="O36" s="9">
        <f t="shared" si="24"/>
        <v>0</v>
      </c>
      <c r="P36" s="9">
        <f t="shared" si="0"/>
        <v>0</v>
      </c>
      <c r="Q36" s="9">
        <f t="shared" si="1"/>
        <v>0</v>
      </c>
      <c r="R36" s="24" t="str">
        <f t="shared" si="2"/>
        <v/>
      </c>
      <c r="S36" s="36"/>
      <c r="T36" s="88"/>
      <c r="U36" s="86"/>
      <c r="V36" s="20" t="str">
        <f t="shared" si="3"/>
        <v/>
      </c>
      <c r="W36" s="9" t="str">
        <f t="shared" si="4"/>
        <v/>
      </c>
      <c r="X36" s="9" t="str">
        <f t="shared" ca="1" si="5"/>
        <v/>
      </c>
      <c r="Y36" s="9" t="str">
        <f t="shared" si="6"/>
        <v/>
      </c>
      <c r="Z36" s="9" t="str">
        <f t="shared" si="7"/>
        <v/>
      </c>
      <c r="AA36" s="74">
        <f t="shared" si="8"/>
        <v>45184</v>
      </c>
      <c r="AB36" s="35">
        <f t="shared" si="9"/>
        <v>0</v>
      </c>
      <c r="AC36" s="35">
        <f t="shared" si="10"/>
        <v>100000000</v>
      </c>
      <c r="AD36" s="15">
        <f t="shared" ca="1" si="11"/>
        <v>-127397.2602739726</v>
      </c>
      <c r="AE36" s="15">
        <f t="shared" si="12"/>
        <v>-123287.6712328767</v>
      </c>
      <c r="AF36" s="34">
        <f t="shared" si="13"/>
        <v>30</v>
      </c>
      <c r="AH36" s="34">
        <v>30</v>
      </c>
      <c r="AI36" s="25">
        <f t="shared" si="25"/>
        <v>30</v>
      </c>
      <c r="AJ36" s="26">
        <f t="shared" si="16"/>
        <v>45214</v>
      </c>
      <c r="AK36" s="27">
        <f t="shared" si="17"/>
        <v>100000000</v>
      </c>
      <c r="AL36" s="118">
        <f>IF(OR(torlesztes="Egyedi",torlesztes="Annuitás"),-SUMIFS(U$7:U$46,T$7:T$46,"&gt;"&amp;AJ35,T$7:T$46,"&lt;="&amp;AJ36),IFERROR(IF(torlesztes="Egyenlő tőke",IF(COUNT($AK$7:AK36)&gt;$D$15,"",-$AK$5/$D$15),0),""))</f>
        <v>0</v>
      </c>
      <c r="AM36" s="27">
        <f t="shared" ca="1" si="18"/>
        <v>-127397.2602739726</v>
      </c>
      <c r="AN36" s="27">
        <f t="shared" si="19"/>
        <v>100000000</v>
      </c>
      <c r="AO36" s="27">
        <f>IF(OR(torlesztes="Egyedi",torlesztes="Annuitás"),-SUMIFS(U$7:U$46,T$7:T$46,"&gt;"&amp;AJ35,T$7:T$46,"&lt;="&amp;AJ36),IFERROR(IF(torlesztes="Egyenlő tőke",IF(COUNT($AN$7:AN36)&gt;$D$15,"",-$AK$5/$D$15),0),""))</f>
        <v>0</v>
      </c>
      <c r="AP36" s="27">
        <f t="shared" si="20"/>
        <v>-123287.6712328767</v>
      </c>
      <c r="AR36" s="27">
        <f t="shared" ca="1" si="21"/>
        <v>4109.5890410958964</v>
      </c>
      <c r="AS36" s="27">
        <f t="shared" ca="1" si="22"/>
        <v>3865.2088151711641</v>
      </c>
      <c r="AT36" s="34">
        <f t="shared" si="14"/>
        <v>30</v>
      </c>
    </row>
    <row r="37" spans="1:46" x14ac:dyDescent="0.25">
      <c r="B37" s="126" t="s">
        <v>305</v>
      </c>
      <c r="C37" s="127"/>
      <c r="E37" s="37"/>
      <c r="J37" s="33" t="b">
        <f t="shared" si="15"/>
        <v>0</v>
      </c>
      <c r="K37" s="33"/>
      <c r="L37" s="87"/>
      <c r="M37" s="86"/>
      <c r="N37" s="20" t="str">
        <f t="shared" si="23"/>
        <v/>
      </c>
      <c r="O37" s="9">
        <f t="shared" si="24"/>
        <v>0</v>
      </c>
      <c r="P37" s="9">
        <f t="shared" si="0"/>
        <v>0</v>
      </c>
      <c r="Q37" s="9">
        <f t="shared" si="1"/>
        <v>0</v>
      </c>
      <c r="R37" s="24" t="str">
        <f t="shared" si="2"/>
        <v/>
      </c>
      <c r="S37" s="36"/>
      <c r="T37" s="88"/>
      <c r="U37" s="86"/>
      <c r="V37" s="20" t="str">
        <f t="shared" si="3"/>
        <v/>
      </c>
      <c r="W37" s="9" t="str">
        <f t="shared" si="4"/>
        <v/>
      </c>
      <c r="X37" s="9" t="str">
        <f t="shared" ca="1" si="5"/>
        <v/>
      </c>
      <c r="Y37" s="9" t="str">
        <f t="shared" si="6"/>
        <v/>
      </c>
      <c r="Z37" s="9" t="str">
        <f t="shared" si="7"/>
        <v/>
      </c>
      <c r="AA37" s="74">
        <f t="shared" si="8"/>
        <v>45214</v>
      </c>
      <c r="AB37" s="35">
        <f t="shared" si="9"/>
        <v>0</v>
      </c>
      <c r="AC37" s="35">
        <f t="shared" si="10"/>
        <v>100000000</v>
      </c>
      <c r="AD37" s="15">
        <f t="shared" ca="1" si="11"/>
        <v>-131643.83561643836</v>
      </c>
      <c r="AE37" s="15">
        <f t="shared" si="12"/>
        <v>-127397.26027397258</v>
      </c>
      <c r="AF37" s="34">
        <f t="shared" si="13"/>
        <v>31</v>
      </c>
      <c r="AH37" s="34">
        <v>31</v>
      </c>
      <c r="AI37" s="25">
        <f t="shared" si="25"/>
        <v>31</v>
      </c>
      <c r="AJ37" s="26">
        <f t="shared" si="16"/>
        <v>45245</v>
      </c>
      <c r="AK37" s="27">
        <f t="shared" si="17"/>
        <v>100000000</v>
      </c>
      <c r="AL37" s="118">
        <f>IF(OR(torlesztes="Egyedi",torlesztes="Annuitás"),-SUMIFS(U$7:U$46,T$7:T$46,"&gt;"&amp;AJ36,T$7:T$46,"&lt;="&amp;AJ37),IFERROR(IF(torlesztes="Egyenlő tőke",IF(COUNT($AK$7:AK37)&gt;$D$15,"",-$AK$5/$D$15),0),""))</f>
        <v>0</v>
      </c>
      <c r="AM37" s="27">
        <f t="shared" ca="1" si="18"/>
        <v>-131643.83561643836</v>
      </c>
      <c r="AN37" s="27">
        <f t="shared" si="19"/>
        <v>100000000</v>
      </c>
      <c r="AO37" s="27">
        <f>IF(OR(torlesztes="Egyedi",torlesztes="Annuitás"),-SUMIFS(U$7:U$46,T$7:T$46,"&gt;"&amp;AJ36,T$7:T$46,"&lt;="&amp;AJ37),IFERROR(IF(torlesztes="Egyenlő tőke",IF(COUNT($AN$7:AN37)&gt;$D$15,"",-$AK$5/$D$15),0),""))</f>
        <v>0</v>
      </c>
      <c r="AP37" s="27">
        <f t="shared" si="20"/>
        <v>-127397.26027397258</v>
      </c>
      <c r="AR37" s="27">
        <f t="shared" ca="1" si="21"/>
        <v>4246.5753424657742</v>
      </c>
      <c r="AS37" s="27">
        <f t="shared" ca="1" si="22"/>
        <v>3988.0670084974695</v>
      </c>
      <c r="AT37" s="34">
        <f t="shared" si="14"/>
        <v>31</v>
      </c>
    </row>
    <row r="38" spans="1:46" x14ac:dyDescent="0.25">
      <c r="E38" s="37"/>
      <c r="J38" s="33" t="b">
        <f t="shared" si="15"/>
        <v>0</v>
      </c>
      <c r="K38" s="33"/>
      <c r="L38" s="87"/>
      <c r="M38" s="86"/>
      <c r="N38" s="20" t="str">
        <f t="shared" si="23"/>
        <v/>
      </c>
      <c r="O38" s="9">
        <f t="shared" si="24"/>
        <v>0</v>
      </c>
      <c r="P38" s="9">
        <f t="shared" si="0"/>
        <v>0</v>
      </c>
      <c r="Q38" s="9">
        <f t="shared" si="1"/>
        <v>0</v>
      </c>
      <c r="R38" s="24" t="str">
        <f t="shared" si="2"/>
        <v/>
      </c>
      <c r="S38" s="36"/>
      <c r="T38" s="88"/>
      <c r="U38" s="86"/>
      <c r="V38" s="20" t="str">
        <f t="shared" si="3"/>
        <v/>
      </c>
      <c r="W38" s="9" t="str">
        <f t="shared" si="4"/>
        <v/>
      </c>
      <c r="X38" s="9" t="str">
        <f t="shared" ca="1" si="5"/>
        <v/>
      </c>
      <c r="Y38" s="9" t="str">
        <f t="shared" si="6"/>
        <v/>
      </c>
      <c r="Z38" s="9" t="str">
        <f t="shared" si="7"/>
        <v/>
      </c>
      <c r="AA38" s="74">
        <f t="shared" si="8"/>
        <v>45245</v>
      </c>
      <c r="AB38" s="35">
        <f t="shared" si="9"/>
        <v>0</v>
      </c>
      <c r="AC38" s="35">
        <f t="shared" si="10"/>
        <v>100000000</v>
      </c>
      <c r="AD38" s="15">
        <f t="shared" ca="1" si="11"/>
        <v>-127397.2602739726</v>
      </c>
      <c r="AE38" s="15">
        <f t="shared" si="12"/>
        <v>-123287.6712328767</v>
      </c>
      <c r="AF38" s="34">
        <f t="shared" si="13"/>
        <v>30</v>
      </c>
      <c r="AH38" s="34">
        <v>32</v>
      </c>
      <c r="AI38" s="25">
        <f t="shared" si="25"/>
        <v>32</v>
      </c>
      <c r="AJ38" s="26">
        <f t="shared" si="16"/>
        <v>45275</v>
      </c>
      <c r="AK38" s="27">
        <f t="shared" si="17"/>
        <v>100000000</v>
      </c>
      <c r="AL38" s="118">
        <f>IF(OR(torlesztes="Egyedi",torlesztes="Annuitás"),-SUMIFS(U$7:U$46,T$7:T$46,"&gt;"&amp;AJ37,T$7:T$46,"&lt;="&amp;AJ38),IFERROR(IF(torlesztes="Egyenlő tőke",IF(COUNT($AK$7:AK38)&gt;$D$15,"",-$AK$5/$D$15),0),""))</f>
        <v>0</v>
      </c>
      <c r="AM38" s="27">
        <f t="shared" ca="1" si="18"/>
        <v>-127397.2602739726</v>
      </c>
      <c r="AN38" s="27">
        <f t="shared" si="19"/>
        <v>100000000</v>
      </c>
      <c r="AO38" s="27">
        <f>IF(OR(torlesztes="Egyedi",torlesztes="Annuitás"),-SUMIFS(U$7:U$46,T$7:T$46,"&gt;"&amp;AJ37,T$7:T$46,"&lt;="&amp;AJ38),IFERROR(IF(torlesztes="Egyenlő tőke",IF(COUNT($AN$7:AN38)&gt;$D$15,"",-$AK$5/$D$15),0),""))</f>
        <v>0</v>
      </c>
      <c r="AP38" s="27">
        <f t="shared" si="20"/>
        <v>-123287.6712328767</v>
      </c>
      <c r="AR38" s="27">
        <f t="shared" ca="1" si="21"/>
        <v>4109.5890410958964</v>
      </c>
      <c r="AS38" s="27">
        <f t="shared" ca="1" si="22"/>
        <v>3853.6392268024956</v>
      </c>
      <c r="AT38" s="34">
        <f t="shared" si="14"/>
        <v>30</v>
      </c>
    </row>
    <row r="39" spans="1:46" x14ac:dyDescent="0.25">
      <c r="E39" s="37"/>
      <c r="J39" s="33" t="b">
        <f t="shared" si="15"/>
        <v>0</v>
      </c>
      <c r="K39" s="33"/>
      <c r="L39" s="87"/>
      <c r="M39" s="86"/>
      <c r="N39" s="20" t="str">
        <f t="shared" si="23"/>
        <v/>
      </c>
      <c r="O39" s="9">
        <f t="shared" si="24"/>
        <v>0</v>
      </c>
      <c r="P39" s="9">
        <f t="shared" si="0"/>
        <v>0</v>
      </c>
      <c r="Q39" s="9">
        <f t="shared" si="1"/>
        <v>0</v>
      </c>
      <c r="R39" s="24" t="str">
        <f t="shared" si="2"/>
        <v/>
      </c>
      <c r="S39" s="36"/>
      <c r="T39" s="88"/>
      <c r="U39" s="86"/>
      <c r="V39" s="20" t="str">
        <f t="shared" si="3"/>
        <v/>
      </c>
      <c r="W39" s="9" t="str">
        <f t="shared" si="4"/>
        <v/>
      </c>
      <c r="X39" s="9" t="str">
        <f t="shared" ca="1" si="5"/>
        <v/>
      </c>
      <c r="Y39" s="9" t="str">
        <f t="shared" si="6"/>
        <v/>
      </c>
      <c r="Z39" s="9" t="str">
        <f t="shared" si="7"/>
        <v/>
      </c>
      <c r="AA39" s="74">
        <f t="shared" si="8"/>
        <v>45275</v>
      </c>
      <c r="AB39" s="35">
        <f t="shared" si="9"/>
        <v>0</v>
      </c>
      <c r="AC39" s="35">
        <f t="shared" si="10"/>
        <v>100000000</v>
      </c>
      <c r="AD39" s="15">
        <f t="shared" ca="1" si="11"/>
        <v>-131643.83561643836</v>
      </c>
      <c r="AE39" s="15">
        <f t="shared" si="12"/>
        <v>-127397.26027397258</v>
      </c>
      <c r="AF39" s="34">
        <f t="shared" si="13"/>
        <v>31</v>
      </c>
      <c r="AH39" s="34">
        <v>33</v>
      </c>
      <c r="AI39" s="25">
        <f t="shared" si="25"/>
        <v>33</v>
      </c>
      <c r="AJ39" s="26">
        <f t="shared" si="16"/>
        <v>45306</v>
      </c>
      <c r="AK39" s="27">
        <f t="shared" si="17"/>
        <v>100000000</v>
      </c>
      <c r="AL39" s="118">
        <f>IF(OR(torlesztes="Egyedi",torlesztes="Annuitás"),-SUMIFS(U$7:U$46,T$7:T$46,"&gt;"&amp;AJ38,T$7:T$46,"&lt;="&amp;AJ39),IFERROR(IF(torlesztes="Egyenlő tőke",IF(COUNT($AK$7:AK39)&gt;$D$15,"",-$AK$5/$D$15),0),""))</f>
        <v>0</v>
      </c>
      <c r="AM39" s="27">
        <f t="shared" ca="1" si="18"/>
        <v>-131643.83561643836</v>
      </c>
      <c r="AN39" s="27">
        <f t="shared" si="19"/>
        <v>100000000</v>
      </c>
      <c r="AO39" s="27">
        <f>IF(OR(torlesztes="Egyedi",torlesztes="Annuitás"),-SUMIFS(U$7:U$46,T$7:T$46,"&gt;"&amp;AJ38,T$7:T$46,"&lt;="&amp;AJ39),IFERROR(IF(torlesztes="Egyenlő tőke",IF(COUNT($AN$7:AN39)&gt;$D$15,"",-$AK$5/$D$15),0),""))</f>
        <v>0</v>
      </c>
      <c r="AP39" s="27">
        <f t="shared" si="20"/>
        <v>-127397.26027397258</v>
      </c>
      <c r="AR39" s="27">
        <f t="shared" ca="1" si="21"/>
        <v>4246.5753424657742</v>
      </c>
      <c r="AS39" s="27">
        <f t="shared" ca="1" si="22"/>
        <v>3976.1296731861448</v>
      </c>
      <c r="AT39" s="34">
        <f t="shared" si="14"/>
        <v>31</v>
      </c>
    </row>
    <row r="40" spans="1:46" x14ac:dyDescent="0.25">
      <c r="E40" s="37"/>
      <c r="J40" s="33" t="b">
        <f t="shared" si="15"/>
        <v>0</v>
      </c>
      <c r="K40" s="33"/>
      <c r="L40" s="87"/>
      <c r="M40" s="86"/>
      <c r="N40" s="20" t="str">
        <f t="shared" si="23"/>
        <v/>
      </c>
      <c r="O40" s="9">
        <f t="shared" si="24"/>
        <v>0</v>
      </c>
      <c r="P40" s="9">
        <f t="shared" si="0"/>
        <v>0</v>
      </c>
      <c r="Q40" s="9">
        <f t="shared" si="1"/>
        <v>0</v>
      </c>
      <c r="R40" s="24" t="str">
        <f t="shared" si="2"/>
        <v/>
      </c>
      <c r="S40" s="36"/>
      <c r="T40" s="88"/>
      <c r="U40" s="86"/>
      <c r="V40" s="20" t="str">
        <f t="shared" si="3"/>
        <v/>
      </c>
      <c r="W40" s="9" t="str">
        <f t="shared" si="4"/>
        <v/>
      </c>
      <c r="X40" s="9" t="str">
        <f t="shared" ca="1" si="5"/>
        <v/>
      </c>
      <c r="Y40" s="9" t="str">
        <f t="shared" si="6"/>
        <v/>
      </c>
      <c r="Z40" s="9" t="str">
        <f t="shared" si="7"/>
        <v/>
      </c>
      <c r="AA40" s="74">
        <f t="shared" si="8"/>
        <v>45306</v>
      </c>
      <c r="AB40" s="35">
        <f t="shared" si="9"/>
        <v>0</v>
      </c>
      <c r="AC40" s="35">
        <f t="shared" si="10"/>
        <v>100000000</v>
      </c>
      <c r="AD40" s="15">
        <f t="shared" ca="1" si="11"/>
        <v>-131643.83561643836</v>
      </c>
      <c r="AE40" s="15">
        <f t="shared" si="12"/>
        <v>-127397.26027397258</v>
      </c>
      <c r="AF40" s="34">
        <f t="shared" si="13"/>
        <v>31</v>
      </c>
      <c r="AH40" s="34">
        <v>34</v>
      </c>
      <c r="AI40" s="25">
        <f t="shared" si="25"/>
        <v>34</v>
      </c>
      <c r="AJ40" s="26">
        <f t="shared" si="16"/>
        <v>45337</v>
      </c>
      <c r="AK40" s="27">
        <f t="shared" si="17"/>
        <v>100000000</v>
      </c>
      <c r="AL40" s="118">
        <f>IF(OR(torlesztes="Egyedi",torlesztes="Annuitás"),-SUMIFS(U$7:U$46,T$7:T$46,"&gt;"&amp;AJ39,T$7:T$46,"&lt;="&amp;AJ40),IFERROR(IF(torlesztes="Egyenlő tőke",IF(COUNT($AK$7:AK40)&gt;$D$15,"",-$AK$5/$D$15),0),""))</f>
        <v>0</v>
      </c>
      <c r="AM40" s="27">
        <f t="shared" ca="1" si="18"/>
        <v>-131643.83561643836</v>
      </c>
      <c r="AN40" s="27">
        <f t="shared" si="19"/>
        <v>100000000</v>
      </c>
      <c r="AO40" s="27">
        <f>IF(OR(torlesztes="Egyedi",torlesztes="Annuitás"),-SUMIFS(U$7:U$46,T$7:T$46,"&gt;"&amp;AJ39,T$7:T$46,"&lt;="&amp;AJ40),IFERROR(IF(torlesztes="Egyenlő tőke",IF(COUNT($AN$7:AN40)&gt;$D$15,"",-$AK$5/$D$15),0),""))</f>
        <v>0</v>
      </c>
      <c r="AP40" s="27">
        <f t="shared" si="20"/>
        <v>-127397.26027397258</v>
      </c>
      <c r="AR40" s="27">
        <f t="shared" ca="1" si="21"/>
        <v>4246.5753424657742</v>
      </c>
      <c r="AS40" s="27">
        <f t="shared" ca="1" si="22"/>
        <v>3970.1744115687907</v>
      </c>
      <c r="AT40" s="34">
        <f t="shared" si="14"/>
        <v>31</v>
      </c>
    </row>
    <row r="41" spans="1:46" x14ac:dyDescent="0.25">
      <c r="E41" s="37"/>
      <c r="H41" s="10"/>
      <c r="I41" s="10"/>
      <c r="J41" s="33" t="b">
        <f t="shared" si="15"/>
        <v>0</v>
      </c>
      <c r="K41" s="33"/>
      <c r="L41" s="87"/>
      <c r="M41" s="86"/>
      <c r="N41" s="20" t="str">
        <f t="shared" si="23"/>
        <v/>
      </c>
      <c r="O41" s="9">
        <f t="shared" si="24"/>
        <v>0</v>
      </c>
      <c r="P41" s="9">
        <f t="shared" si="0"/>
        <v>0</v>
      </c>
      <c r="Q41" s="9">
        <f t="shared" si="1"/>
        <v>0</v>
      </c>
      <c r="R41" s="24" t="str">
        <f t="shared" si="2"/>
        <v/>
      </c>
      <c r="S41" s="36"/>
      <c r="T41" s="88"/>
      <c r="U41" s="86"/>
      <c r="V41" s="20" t="str">
        <f t="shared" si="3"/>
        <v/>
      </c>
      <c r="W41" s="9" t="str">
        <f t="shared" si="4"/>
        <v/>
      </c>
      <c r="X41" s="9" t="str">
        <f t="shared" ca="1" si="5"/>
        <v/>
      </c>
      <c r="Y41" s="9" t="str">
        <f t="shared" si="6"/>
        <v/>
      </c>
      <c r="Z41" s="9" t="str">
        <f t="shared" si="7"/>
        <v/>
      </c>
      <c r="AA41" s="74">
        <f t="shared" si="8"/>
        <v>45337</v>
      </c>
      <c r="AB41" s="35">
        <f t="shared" si="9"/>
        <v>0</v>
      </c>
      <c r="AC41" s="35">
        <f t="shared" si="10"/>
        <v>100000000</v>
      </c>
      <c r="AD41" s="15">
        <f t="shared" ca="1" si="11"/>
        <v>-123150.68493150684</v>
      </c>
      <c r="AE41" s="15">
        <f t="shared" si="12"/>
        <v>-119178.08219178081</v>
      </c>
      <c r="AF41" s="34">
        <f t="shared" si="13"/>
        <v>29</v>
      </c>
      <c r="AH41" s="34">
        <v>35</v>
      </c>
      <c r="AI41" s="25">
        <f t="shared" si="25"/>
        <v>35</v>
      </c>
      <c r="AJ41" s="26">
        <f t="shared" si="16"/>
        <v>45366</v>
      </c>
      <c r="AK41" s="27">
        <f t="shared" si="17"/>
        <v>100000000</v>
      </c>
      <c r="AL41" s="118">
        <f>IF(OR(torlesztes="Egyedi",torlesztes="Annuitás"),-SUMIFS(U$7:U$46,T$7:T$46,"&gt;"&amp;AJ40,T$7:T$46,"&lt;="&amp;AJ41),IFERROR(IF(torlesztes="Egyenlő tőke",IF(COUNT($AK$7:AK41)&gt;$D$15,"",-$AK$5/$D$15),0),""))</f>
        <v>0</v>
      </c>
      <c r="AM41" s="27">
        <f t="shared" ca="1" si="18"/>
        <v>-123150.68493150684</v>
      </c>
      <c r="AN41" s="27">
        <f t="shared" si="19"/>
        <v>100000000</v>
      </c>
      <c r="AO41" s="27">
        <f>IF(OR(torlesztes="Egyedi",torlesztes="Annuitás"),-SUMIFS(U$7:U$46,T$7:T$46,"&gt;"&amp;AJ40,T$7:T$46,"&lt;="&amp;AJ41),IFERROR(IF(torlesztes="Egyenlő tőke",IF(COUNT($AN$7:AN41)&gt;$D$15,"",-$AK$5/$D$15),0),""))</f>
        <v>0</v>
      </c>
      <c r="AP41" s="27">
        <f t="shared" si="20"/>
        <v>-119178.08219178081</v>
      </c>
      <c r="AR41" s="27">
        <f t="shared" ca="1" si="21"/>
        <v>3972.6027397260332</v>
      </c>
      <c r="AS41" s="27">
        <f t="shared" ca="1" si="22"/>
        <v>3708.4714198217039</v>
      </c>
      <c r="AT41" s="34">
        <f t="shared" si="14"/>
        <v>29</v>
      </c>
    </row>
    <row r="42" spans="1:46" x14ac:dyDescent="0.25">
      <c r="D42" s="38"/>
      <c r="E42" s="37"/>
      <c r="H42" s="10"/>
      <c r="I42" s="10"/>
      <c r="J42" s="33" t="b">
        <f t="shared" si="15"/>
        <v>0</v>
      </c>
      <c r="K42" s="33"/>
      <c r="L42" s="87"/>
      <c r="M42" s="86"/>
      <c r="N42" s="20" t="str">
        <f t="shared" si="23"/>
        <v/>
      </c>
      <c r="O42" s="9">
        <f t="shared" si="24"/>
        <v>0</v>
      </c>
      <c r="P42" s="9">
        <f t="shared" si="0"/>
        <v>0</v>
      </c>
      <c r="Q42" s="9">
        <f t="shared" si="1"/>
        <v>0</v>
      </c>
      <c r="R42" s="24" t="str">
        <f t="shared" si="2"/>
        <v/>
      </c>
      <c r="S42" s="36"/>
      <c r="T42" s="88"/>
      <c r="U42" s="86"/>
      <c r="V42" s="20" t="str">
        <f t="shared" si="3"/>
        <v/>
      </c>
      <c r="W42" s="9" t="str">
        <f t="shared" si="4"/>
        <v/>
      </c>
      <c r="X42" s="9" t="str">
        <f t="shared" ca="1" si="5"/>
        <v/>
      </c>
      <c r="Y42" s="9" t="str">
        <f t="shared" si="6"/>
        <v/>
      </c>
      <c r="Z42" s="9" t="str">
        <f t="shared" si="7"/>
        <v/>
      </c>
      <c r="AA42" s="74">
        <f t="shared" si="8"/>
        <v>45366</v>
      </c>
      <c r="AB42" s="35">
        <f t="shared" si="9"/>
        <v>0</v>
      </c>
      <c r="AC42" s="35">
        <f t="shared" si="10"/>
        <v>100000000</v>
      </c>
      <c r="AD42" s="15">
        <f t="shared" ca="1" si="11"/>
        <v>-131643.83561643836</v>
      </c>
      <c r="AE42" s="15">
        <f t="shared" si="12"/>
        <v>-127397.26027397258</v>
      </c>
      <c r="AF42" s="34">
        <f t="shared" si="13"/>
        <v>31</v>
      </c>
      <c r="AH42" s="34">
        <v>36</v>
      </c>
      <c r="AI42" s="25">
        <f t="shared" si="25"/>
        <v>36</v>
      </c>
      <c r="AJ42" s="26">
        <f t="shared" si="16"/>
        <v>45397</v>
      </c>
      <c r="AK42" s="27">
        <f t="shared" si="17"/>
        <v>100000000</v>
      </c>
      <c r="AL42" s="118">
        <f>IF(OR(torlesztes="Egyedi",torlesztes="Annuitás"),-SUMIFS(U$7:U$46,T$7:T$46,"&gt;"&amp;AJ41,T$7:T$46,"&lt;="&amp;AJ42),IFERROR(IF(torlesztes="Egyenlő tőke",IF(COUNT($AK$7:AK42)&gt;$D$15,"",-$AK$5/$D$15),0),""))</f>
        <v>0</v>
      </c>
      <c r="AM42" s="27">
        <f t="shared" ca="1" si="18"/>
        <v>-131643.83561643836</v>
      </c>
      <c r="AN42" s="27">
        <f t="shared" si="19"/>
        <v>100000000</v>
      </c>
      <c r="AO42" s="27">
        <f>IF(OR(torlesztes="Egyedi",torlesztes="Annuitás"),-SUMIFS(U$7:U$46,T$7:T$46,"&gt;"&amp;AJ41,T$7:T$46,"&lt;="&amp;AJ42),IFERROR(IF(torlesztes="Egyenlő tőke",IF(COUNT($AN$7:AN42)&gt;$D$15,"",-$AK$5/$D$15),0),""))</f>
        <v>0</v>
      </c>
      <c r="AP42" s="27">
        <f t="shared" si="20"/>
        <v>-127397.26027397258</v>
      </c>
      <c r="AR42" s="27">
        <f t="shared" ca="1" si="21"/>
        <v>4246.5753424657742</v>
      </c>
      <c r="AS42" s="27">
        <f t="shared" ca="1" si="22"/>
        <v>3958.2906335143216</v>
      </c>
      <c r="AT42" s="34">
        <f t="shared" si="14"/>
        <v>31</v>
      </c>
    </row>
    <row r="43" spans="1:46" x14ac:dyDescent="0.25">
      <c r="D43" s="61"/>
      <c r="E43" s="37"/>
      <c r="J43" s="33" t="b">
        <f t="shared" si="15"/>
        <v>0</v>
      </c>
      <c r="K43" s="33"/>
      <c r="L43" s="87"/>
      <c r="M43" s="86"/>
      <c r="N43" s="20" t="str">
        <f t="shared" si="23"/>
        <v/>
      </c>
      <c r="O43" s="9">
        <f t="shared" si="24"/>
        <v>0</v>
      </c>
      <c r="P43" s="9">
        <f t="shared" si="0"/>
        <v>0</v>
      </c>
      <c r="Q43" s="9">
        <f t="shared" si="1"/>
        <v>0</v>
      </c>
      <c r="R43" s="24" t="str">
        <f t="shared" si="2"/>
        <v/>
      </c>
      <c r="S43" s="36"/>
      <c r="T43" s="88"/>
      <c r="U43" s="86"/>
      <c r="V43" s="20" t="str">
        <f t="shared" si="3"/>
        <v/>
      </c>
      <c r="W43" s="9" t="str">
        <f t="shared" si="4"/>
        <v/>
      </c>
      <c r="X43" s="9" t="str">
        <f t="shared" ca="1" si="5"/>
        <v/>
      </c>
      <c r="Y43" s="9" t="str">
        <f t="shared" si="6"/>
        <v/>
      </c>
      <c r="Z43" s="9" t="str">
        <f t="shared" si="7"/>
        <v/>
      </c>
      <c r="AA43" s="74">
        <f t="shared" si="8"/>
        <v>45397</v>
      </c>
      <c r="AB43" s="35">
        <f t="shared" si="9"/>
        <v>0</v>
      </c>
      <c r="AC43" s="35">
        <f t="shared" si="10"/>
        <v>100000000</v>
      </c>
      <c r="AD43" s="15">
        <f t="shared" ca="1" si="11"/>
        <v>-127397.2602739726</v>
      </c>
      <c r="AE43" s="15">
        <f t="shared" si="12"/>
        <v>-123287.6712328767</v>
      </c>
      <c r="AF43" s="34">
        <f t="shared" si="13"/>
        <v>30</v>
      </c>
      <c r="AH43" s="34">
        <v>37</v>
      </c>
      <c r="AI43" s="25">
        <f t="shared" si="25"/>
        <v>37</v>
      </c>
      <c r="AJ43" s="26">
        <f t="shared" si="16"/>
        <v>45427</v>
      </c>
      <c r="AK43" s="27">
        <f t="shared" si="17"/>
        <v>100000000</v>
      </c>
      <c r="AL43" s="118">
        <f>IF(OR(torlesztes="Egyedi",torlesztes="Annuitás"),-SUMIFS(U$7:U$46,T$7:T$46,"&gt;"&amp;AJ42,T$7:T$46,"&lt;="&amp;AJ43),IFERROR(IF(torlesztes="Egyenlő tőke",IF(COUNT($AK$7:AK43)&gt;$D$15,"",-$AK$5/$D$15),0),""))</f>
        <v>0</v>
      </c>
      <c r="AM43" s="27">
        <f t="shared" ca="1" si="18"/>
        <v>-127397.2602739726</v>
      </c>
      <c r="AN43" s="27">
        <f t="shared" si="19"/>
        <v>100000000</v>
      </c>
      <c r="AO43" s="27">
        <f>IF(OR(torlesztes="Egyedi",torlesztes="Annuitás"),-SUMIFS(U$7:U$46,T$7:T$46,"&gt;"&amp;AJ42,T$7:T$46,"&lt;="&amp;AJ43),IFERROR(IF(torlesztes="Egyenlő tőke",IF(COUNT($AN$7:AN43)&gt;$D$15,"",-$AK$5/$D$15),0),""))</f>
        <v>0</v>
      </c>
      <c r="AP43" s="27">
        <f t="shared" si="20"/>
        <v>-123287.6712328767</v>
      </c>
      <c r="AR43" s="27">
        <f t="shared" ca="1" si="21"/>
        <v>4109.5890410958964</v>
      </c>
      <c r="AS43" s="27">
        <f t="shared" ca="1" si="22"/>
        <v>3824.8665390761998</v>
      </c>
      <c r="AT43" s="34">
        <f t="shared" ref="AT43:AT46" si="26">IFERROR(AJ43-AJ42,"")</f>
        <v>30</v>
      </c>
    </row>
    <row r="44" spans="1:46" x14ac:dyDescent="0.25">
      <c r="D44" s="62"/>
      <c r="E44" s="37"/>
      <c r="J44" s="33" t="b">
        <f t="shared" si="15"/>
        <v>0</v>
      </c>
      <c r="K44" s="33"/>
      <c r="L44" s="87"/>
      <c r="M44" s="86"/>
      <c r="N44" s="20" t="str">
        <f t="shared" si="23"/>
        <v/>
      </c>
      <c r="O44" s="9">
        <f t="shared" si="24"/>
        <v>0</v>
      </c>
      <c r="P44" s="9">
        <f t="shared" si="0"/>
        <v>0</v>
      </c>
      <c r="Q44" s="9">
        <f t="shared" si="1"/>
        <v>0</v>
      </c>
      <c r="R44" s="24" t="str">
        <f t="shared" si="2"/>
        <v/>
      </c>
      <c r="S44" s="36"/>
      <c r="T44" s="88"/>
      <c r="U44" s="86"/>
      <c r="V44" s="20" t="str">
        <f t="shared" si="3"/>
        <v/>
      </c>
      <c r="W44" s="9" t="str">
        <f t="shared" si="4"/>
        <v/>
      </c>
      <c r="X44" s="9" t="str">
        <f t="shared" ca="1" si="5"/>
        <v/>
      </c>
      <c r="Y44" s="9" t="str">
        <f t="shared" si="6"/>
        <v/>
      </c>
      <c r="Z44" s="9" t="str">
        <f t="shared" si="7"/>
        <v/>
      </c>
      <c r="AA44" s="74">
        <f t="shared" si="8"/>
        <v>45427</v>
      </c>
      <c r="AB44" s="35">
        <f t="shared" si="9"/>
        <v>0</v>
      </c>
      <c r="AC44" s="35">
        <f t="shared" si="10"/>
        <v>100000000</v>
      </c>
      <c r="AD44" s="15">
        <f t="shared" ca="1" si="11"/>
        <v>-131643.83561643836</v>
      </c>
      <c r="AE44" s="15">
        <f t="shared" si="12"/>
        <v>-127397.26027397258</v>
      </c>
      <c r="AF44" s="34">
        <f t="shared" si="13"/>
        <v>31</v>
      </c>
      <c r="AH44" s="34">
        <v>38</v>
      </c>
      <c r="AI44" s="25">
        <f t="shared" si="25"/>
        <v>38</v>
      </c>
      <c r="AJ44" s="26">
        <f t="shared" si="16"/>
        <v>45458</v>
      </c>
      <c r="AK44" s="27">
        <f t="shared" si="17"/>
        <v>100000000</v>
      </c>
      <c r="AL44" s="118">
        <f>IF(OR(torlesztes="Egyedi",torlesztes="Annuitás"),-SUMIFS(U$7:U$46,T$7:T$46,"&gt;"&amp;AJ43,T$7:T$46,"&lt;="&amp;AJ44),IFERROR(IF(torlesztes="Egyenlő tőke",IF(COUNT($AK$7:AK44)&gt;$D$15,"",-$AK$5/$D$15),0),""))</f>
        <v>0</v>
      </c>
      <c r="AM44" s="27">
        <f t="shared" ca="1" si="18"/>
        <v>-131643.83561643836</v>
      </c>
      <c r="AN44" s="27">
        <f t="shared" si="19"/>
        <v>100000000</v>
      </c>
      <c r="AO44" s="27">
        <f>IF(OR(torlesztes="Egyedi",torlesztes="Annuitás"),-SUMIFS(U$7:U$46,T$7:T$46,"&gt;"&amp;AJ43,T$7:T$46,"&lt;="&amp;AJ44),IFERROR(IF(torlesztes="Egyenlő tőke",IF(COUNT($AN$7:AN44)&gt;$D$15,"",-$AK$5/$D$15),0),""))</f>
        <v>0</v>
      </c>
      <c r="AP44" s="27">
        <f t="shared" si="20"/>
        <v>-127397.26027397258</v>
      </c>
      <c r="AR44" s="27">
        <f t="shared" ca="1" si="21"/>
        <v>4246.5753424657742</v>
      </c>
      <c r="AS44" s="27">
        <f t="shared" ca="1" si="22"/>
        <v>3946.4424267386448</v>
      </c>
      <c r="AT44" s="34">
        <f t="shared" si="26"/>
        <v>31</v>
      </c>
    </row>
    <row r="45" spans="1:46" x14ac:dyDescent="0.25">
      <c r="D45" s="61"/>
      <c r="E45" s="37"/>
      <c r="J45" s="33" t="b">
        <f t="shared" si="15"/>
        <v>0</v>
      </c>
      <c r="K45" s="33"/>
      <c r="L45" s="87"/>
      <c r="M45" s="86"/>
      <c r="N45" s="20" t="str">
        <f t="shared" ref="N45:N46" si="27">IF(ISBLANK(L44),"",L44)</f>
        <v/>
      </c>
      <c r="O45" s="9">
        <f t="shared" ref="O45:O46" si="28">IF(ISBLANK(L44),0,M44+O44)</f>
        <v>0</v>
      </c>
      <c r="P45" s="9">
        <f t="shared" si="0"/>
        <v>0</v>
      </c>
      <c r="Q45" s="9">
        <f t="shared" si="1"/>
        <v>0</v>
      </c>
      <c r="S45" s="36"/>
      <c r="T45" s="88"/>
      <c r="U45" s="86"/>
      <c r="V45" s="20" t="str">
        <f t="shared" si="3"/>
        <v/>
      </c>
      <c r="W45" s="9" t="str">
        <f t="shared" si="4"/>
        <v/>
      </c>
      <c r="X45" s="9" t="str">
        <f t="shared" ca="1" si="5"/>
        <v/>
      </c>
      <c r="Y45" s="9" t="str">
        <f t="shared" si="6"/>
        <v/>
      </c>
      <c r="Z45" s="9" t="str">
        <f t="shared" si="7"/>
        <v/>
      </c>
      <c r="AA45" s="74">
        <f t="shared" si="8"/>
        <v>45458</v>
      </c>
      <c r="AB45" s="35">
        <f t="shared" si="9"/>
        <v>0</v>
      </c>
      <c r="AC45" s="35">
        <f t="shared" si="10"/>
        <v>100000000</v>
      </c>
      <c r="AD45" s="15">
        <f t="shared" ca="1" si="11"/>
        <v>-127397.2602739726</v>
      </c>
      <c r="AE45" s="15">
        <f t="shared" si="12"/>
        <v>-123287.6712328767</v>
      </c>
      <c r="AF45" s="34">
        <f t="shared" si="13"/>
        <v>30</v>
      </c>
      <c r="AH45" s="34">
        <v>39</v>
      </c>
      <c r="AI45" s="25">
        <f t="shared" si="25"/>
        <v>39</v>
      </c>
      <c r="AJ45" s="26">
        <f t="shared" si="16"/>
        <v>45488</v>
      </c>
      <c r="AK45" s="27">
        <f t="shared" si="17"/>
        <v>100000000</v>
      </c>
      <c r="AL45" s="118">
        <f>IF(OR(torlesztes="Egyedi",torlesztes="Annuitás"),-SUMIFS(U$7:U$46,T$7:T$46,"&gt;"&amp;AJ44,T$7:T$46,"&lt;="&amp;AJ45),IFERROR(IF(torlesztes="Egyenlő tőke",IF(COUNT($AK$7:AK45)&gt;$D$15,"",-$AK$5/$D$15),0),""))</f>
        <v>0</v>
      </c>
      <c r="AM45" s="27">
        <f t="shared" ca="1" si="18"/>
        <v>-127397.2602739726</v>
      </c>
      <c r="AN45" s="27">
        <f t="shared" si="19"/>
        <v>100000000</v>
      </c>
      <c r="AO45" s="27">
        <f>IF(OR(torlesztes="Egyedi",torlesztes="Annuitás"),-SUMIFS(U$7:U$46,T$7:T$46,"&gt;"&amp;AJ44,T$7:T$46,"&lt;="&amp;AJ45),IFERROR(IF(torlesztes="Egyenlő tőke",IF(COUNT($AN$7:AN45)&gt;$D$15,"",-$AK$5/$D$15),0),""))</f>
        <v>0</v>
      </c>
      <c r="AP45" s="27">
        <f t="shared" si="20"/>
        <v>-123287.6712328767</v>
      </c>
      <c r="AR45" s="27">
        <f t="shared" ca="1" si="21"/>
        <v>4109.5890410958964</v>
      </c>
      <c r="AS45" s="27">
        <f t="shared" ca="1" si="22"/>
        <v>3813.417705769054</v>
      </c>
      <c r="AT45" s="34">
        <f t="shared" si="26"/>
        <v>30</v>
      </c>
    </row>
    <row r="46" spans="1:46" x14ac:dyDescent="0.25">
      <c r="E46" s="37"/>
      <c r="J46" s="33" t="b">
        <f t="shared" si="15"/>
        <v>0</v>
      </c>
      <c r="K46" s="33"/>
      <c r="L46" s="87"/>
      <c r="M46" s="86"/>
      <c r="N46" s="20" t="str">
        <f t="shared" si="27"/>
        <v/>
      </c>
      <c r="O46" s="9">
        <f t="shared" si="28"/>
        <v>0</v>
      </c>
      <c r="P46" s="9">
        <f t="shared" si="0"/>
        <v>0</v>
      </c>
      <c r="Q46" s="9">
        <f t="shared" si="1"/>
        <v>0</v>
      </c>
      <c r="S46" s="36"/>
      <c r="T46" s="88"/>
      <c r="U46" s="86"/>
      <c r="V46" s="20" t="str">
        <f t="shared" si="3"/>
        <v/>
      </c>
      <c r="W46" s="9" t="str">
        <f t="shared" si="4"/>
        <v/>
      </c>
      <c r="X46" s="9" t="str">
        <f t="shared" ca="1" si="5"/>
        <v/>
      </c>
      <c r="Y46" s="9" t="str">
        <f t="shared" si="6"/>
        <v/>
      </c>
      <c r="Z46" s="9" t="str">
        <f t="shared" si="7"/>
        <v/>
      </c>
      <c r="AA46" s="74">
        <f t="shared" si="8"/>
        <v>45488</v>
      </c>
      <c r="AB46" s="35">
        <f t="shared" si="9"/>
        <v>0</v>
      </c>
      <c r="AC46" s="35">
        <f t="shared" si="10"/>
        <v>100000000</v>
      </c>
      <c r="AD46" s="15">
        <f t="shared" ca="1" si="11"/>
        <v>-131643.83561643836</v>
      </c>
      <c r="AE46" s="15">
        <f t="shared" si="12"/>
        <v>-127397.26027397258</v>
      </c>
      <c r="AF46" s="34">
        <f t="shared" si="13"/>
        <v>31</v>
      </c>
      <c r="AH46" s="34">
        <v>40</v>
      </c>
      <c r="AI46" s="25">
        <f t="shared" si="25"/>
        <v>40</v>
      </c>
      <c r="AJ46" s="26">
        <f t="shared" si="16"/>
        <v>45519</v>
      </c>
      <c r="AK46" s="27">
        <f t="shared" si="17"/>
        <v>100000000</v>
      </c>
      <c r="AL46" s="118">
        <f>IF(OR(torlesztes="Egyedi",torlesztes="Annuitás"),-SUMIFS(U$7:U$46,T$7:T$46,"&gt;"&amp;AJ45,T$7:T$46,"&lt;="&amp;AJ46),IFERROR(IF(torlesztes="Egyenlő tőke",IF(COUNT($AK$7:AK46)&gt;$D$15,"",-$AK$5/$D$15),0),""))</f>
        <v>0</v>
      </c>
      <c r="AM46" s="27">
        <f t="shared" ca="1" si="18"/>
        <v>-131643.83561643836</v>
      </c>
      <c r="AN46" s="27">
        <f t="shared" si="19"/>
        <v>100000000</v>
      </c>
      <c r="AO46" s="27">
        <f>IF(OR(torlesztes="Egyedi",torlesztes="Annuitás"),-SUMIFS(U$7:U$46,T$7:T$46,"&gt;"&amp;AJ45,T$7:T$46,"&lt;="&amp;AJ46),IFERROR(IF(torlesztes="Egyenlő tőke",IF(COUNT($AN$7:AN46)&gt;$D$15,"",-$AK$5/$D$15),0),""))</f>
        <v>0</v>
      </c>
      <c r="AP46" s="27">
        <f t="shared" si="20"/>
        <v>-127397.26027397258</v>
      </c>
      <c r="AR46" s="27">
        <f t="shared" ca="1" si="21"/>
        <v>4246.5753424657742</v>
      </c>
      <c r="AS46" s="27">
        <f t="shared" ca="1" si="22"/>
        <v>3934.6296847675508</v>
      </c>
      <c r="AT46" s="34">
        <f t="shared" si="26"/>
        <v>31</v>
      </c>
    </row>
    <row r="47" spans="1:46" x14ac:dyDescent="0.25">
      <c r="S47" s="36"/>
    </row>
    <row r="48" spans="1:46" x14ac:dyDescent="0.25">
      <c r="A48"/>
      <c r="E48"/>
      <c r="H48"/>
      <c r="I48"/>
      <c r="K48"/>
      <c r="L48"/>
      <c r="M48"/>
      <c r="N48"/>
      <c r="O48"/>
      <c r="Q48"/>
      <c r="R48"/>
      <c r="S48"/>
      <c r="V48"/>
      <c r="X48"/>
      <c r="Y48"/>
      <c r="Z48"/>
      <c r="AD48"/>
      <c r="AE48"/>
    </row>
    <row r="49" spans="1:31" x14ac:dyDescent="0.25">
      <c r="A49"/>
      <c r="E49"/>
      <c r="H49"/>
      <c r="I49"/>
      <c r="K49"/>
      <c r="L49"/>
      <c r="M49"/>
      <c r="N49"/>
      <c r="O49"/>
      <c r="Q49"/>
      <c r="R49"/>
      <c r="S49"/>
      <c r="V49"/>
      <c r="X49"/>
      <c r="Y49"/>
      <c r="Z49"/>
      <c r="AD49"/>
      <c r="AE49"/>
    </row>
    <row r="50" spans="1:31" x14ac:dyDescent="0.25">
      <c r="A50"/>
      <c r="E50"/>
      <c r="H50"/>
      <c r="I50"/>
      <c r="K50"/>
      <c r="L50"/>
      <c r="M50"/>
      <c r="N50"/>
      <c r="O50"/>
      <c r="Q50"/>
      <c r="R50"/>
      <c r="S50"/>
      <c r="V50"/>
      <c r="X50"/>
      <c r="Y50"/>
      <c r="Z50"/>
      <c r="AD50"/>
      <c r="AE50"/>
    </row>
    <row r="51" spans="1:31" x14ac:dyDescent="0.25">
      <c r="A51"/>
      <c r="E51"/>
      <c r="H51"/>
      <c r="I51"/>
      <c r="K51"/>
      <c r="L51"/>
      <c r="M51"/>
      <c r="N51"/>
      <c r="O51"/>
      <c r="Q51"/>
      <c r="R51"/>
      <c r="S51"/>
      <c r="V51"/>
      <c r="X51"/>
      <c r="Y51"/>
      <c r="Z51"/>
      <c r="AD51"/>
      <c r="AE51"/>
    </row>
    <row r="52" spans="1:31" x14ac:dyDescent="0.25">
      <c r="A52"/>
      <c r="E52"/>
      <c r="H52"/>
      <c r="I52"/>
      <c r="K52"/>
      <c r="L52"/>
      <c r="M52"/>
      <c r="N52"/>
      <c r="O52"/>
      <c r="Q52"/>
      <c r="R52"/>
      <c r="S52"/>
      <c r="V52"/>
      <c r="X52"/>
      <c r="Y52"/>
      <c r="Z52"/>
      <c r="AD52"/>
      <c r="AE52"/>
    </row>
    <row r="53" spans="1:31" x14ac:dyDescent="0.25">
      <c r="A53"/>
      <c r="E53"/>
      <c r="H53"/>
      <c r="I53"/>
      <c r="K53"/>
      <c r="L53"/>
      <c r="M53"/>
      <c r="N53"/>
      <c r="O53"/>
      <c r="Q53"/>
      <c r="R53"/>
      <c r="S53"/>
      <c r="V53"/>
      <c r="X53"/>
      <c r="Y53"/>
      <c r="Z53"/>
      <c r="AD53"/>
      <c r="AE53"/>
    </row>
    <row r="54" spans="1:31" x14ac:dyDescent="0.25">
      <c r="A54"/>
      <c r="E54"/>
      <c r="H54"/>
      <c r="I54"/>
      <c r="K54"/>
      <c r="L54"/>
      <c r="M54"/>
      <c r="N54"/>
      <c r="O54"/>
      <c r="Q54"/>
      <c r="R54"/>
      <c r="S54"/>
      <c r="V54"/>
      <c r="X54"/>
      <c r="Y54"/>
      <c r="Z54"/>
      <c r="AD54"/>
      <c r="AE54"/>
    </row>
    <row r="55" spans="1:31" x14ac:dyDescent="0.25">
      <c r="A55"/>
      <c r="E55"/>
      <c r="H55"/>
      <c r="I55"/>
      <c r="K55"/>
      <c r="L55"/>
      <c r="M55"/>
      <c r="N55"/>
      <c r="O55"/>
      <c r="Q55"/>
      <c r="R55"/>
      <c r="S55"/>
      <c r="V55"/>
      <c r="X55"/>
      <c r="Y55"/>
      <c r="Z55"/>
      <c r="AD55"/>
      <c r="AE55"/>
    </row>
    <row r="56" spans="1:31" x14ac:dyDescent="0.25">
      <c r="A56"/>
      <c r="E56"/>
      <c r="H56"/>
      <c r="I56"/>
      <c r="K56"/>
      <c r="L56"/>
      <c r="M56"/>
      <c r="N56"/>
      <c r="O56"/>
      <c r="Q56"/>
      <c r="R56"/>
      <c r="S56"/>
      <c r="V56"/>
      <c r="X56"/>
      <c r="Y56"/>
      <c r="Z56"/>
      <c r="AD56"/>
      <c r="AE56"/>
    </row>
    <row r="57" spans="1:31" x14ac:dyDescent="0.25">
      <c r="A57"/>
      <c r="E57"/>
      <c r="H57"/>
      <c r="I57"/>
      <c r="K57"/>
      <c r="L57"/>
      <c r="M57"/>
      <c r="N57"/>
      <c r="O57"/>
      <c r="Q57"/>
      <c r="R57"/>
      <c r="S57"/>
      <c r="V57"/>
      <c r="X57"/>
      <c r="Y57"/>
      <c r="Z57"/>
      <c r="AD57"/>
      <c r="AE57"/>
    </row>
    <row r="58" spans="1:31" x14ac:dyDescent="0.25">
      <c r="A58"/>
      <c r="E58"/>
      <c r="H58"/>
      <c r="I58"/>
      <c r="K58"/>
      <c r="L58"/>
      <c r="M58"/>
      <c r="N58"/>
      <c r="O58"/>
      <c r="Q58"/>
      <c r="R58"/>
      <c r="S58"/>
      <c r="V58"/>
      <c r="X58"/>
      <c r="Y58"/>
      <c r="Z58"/>
      <c r="AD58"/>
      <c r="AE58"/>
    </row>
    <row r="59" spans="1:31" x14ac:dyDescent="0.25">
      <c r="A59"/>
      <c r="E59"/>
      <c r="H59"/>
      <c r="I59"/>
      <c r="K59"/>
      <c r="L59"/>
      <c r="M59"/>
      <c r="N59"/>
      <c r="O59"/>
      <c r="Q59"/>
      <c r="R59"/>
      <c r="S59"/>
      <c r="V59"/>
      <c r="X59"/>
      <c r="Y59"/>
      <c r="Z59"/>
      <c r="AD59"/>
      <c r="AE59"/>
    </row>
    <row r="60" spans="1:31" x14ac:dyDescent="0.25">
      <c r="A60"/>
      <c r="E60"/>
      <c r="H60"/>
      <c r="I60"/>
      <c r="K60"/>
      <c r="L60"/>
      <c r="M60"/>
      <c r="N60"/>
      <c r="O60"/>
      <c r="Q60"/>
      <c r="R60"/>
      <c r="S60"/>
      <c r="V60"/>
      <c r="X60"/>
      <c r="Y60"/>
      <c r="Z60"/>
      <c r="AD60"/>
      <c r="AE60"/>
    </row>
    <row r="61" spans="1:31" x14ac:dyDescent="0.25">
      <c r="A61"/>
      <c r="E61"/>
      <c r="H61"/>
      <c r="I61"/>
      <c r="K61"/>
      <c r="L61"/>
      <c r="M61"/>
      <c r="N61"/>
      <c r="O61"/>
      <c r="Q61"/>
      <c r="R61"/>
      <c r="S61"/>
      <c r="V61"/>
      <c r="X61"/>
      <c r="Y61"/>
      <c r="Z61"/>
      <c r="AD61"/>
      <c r="AE61"/>
    </row>
    <row r="62" spans="1:31" x14ac:dyDescent="0.25">
      <c r="A62"/>
      <c r="E62"/>
      <c r="H62"/>
      <c r="I62"/>
      <c r="K62"/>
      <c r="L62"/>
      <c r="M62"/>
      <c r="N62"/>
      <c r="O62"/>
      <c r="Q62"/>
      <c r="R62"/>
      <c r="S62"/>
      <c r="V62"/>
      <c r="X62"/>
      <c r="Y62"/>
      <c r="Z62"/>
      <c r="AD62"/>
      <c r="AE62"/>
    </row>
    <row r="63" spans="1:31" x14ac:dyDescent="0.25">
      <c r="A63"/>
      <c r="E63"/>
      <c r="H63"/>
      <c r="I63"/>
      <c r="K63"/>
      <c r="L63"/>
      <c r="M63"/>
      <c r="N63"/>
      <c r="O63"/>
      <c r="Q63"/>
      <c r="R63"/>
      <c r="S63"/>
      <c r="V63"/>
      <c r="X63"/>
      <c r="Y63"/>
      <c r="Z63"/>
      <c r="AD63"/>
      <c r="AE63"/>
    </row>
    <row r="64" spans="1:31" x14ac:dyDescent="0.25">
      <c r="A64"/>
      <c r="E64"/>
      <c r="H64"/>
      <c r="I64"/>
      <c r="K64"/>
      <c r="L64"/>
      <c r="M64"/>
      <c r="N64"/>
      <c r="O64"/>
      <c r="Q64"/>
      <c r="R64"/>
      <c r="S64"/>
      <c r="V64"/>
      <c r="X64"/>
      <c r="Y64"/>
      <c r="Z64"/>
      <c r="AD64"/>
      <c r="AE64"/>
    </row>
    <row r="65" spans="1:31" x14ac:dyDescent="0.25">
      <c r="A65"/>
      <c r="E65"/>
      <c r="H65"/>
      <c r="I65"/>
      <c r="K65"/>
      <c r="L65"/>
      <c r="M65"/>
      <c r="N65"/>
      <c r="O65"/>
      <c r="Q65"/>
      <c r="R65"/>
      <c r="S65"/>
      <c r="V65"/>
      <c r="X65"/>
      <c r="Y65"/>
      <c r="Z65"/>
      <c r="AD65"/>
      <c r="AE65"/>
    </row>
    <row r="66" spans="1:31" x14ac:dyDescent="0.25">
      <c r="A66"/>
      <c r="E66"/>
      <c r="H66"/>
      <c r="I66"/>
      <c r="K66"/>
      <c r="L66"/>
      <c r="M66"/>
      <c r="N66"/>
      <c r="O66"/>
      <c r="Q66"/>
      <c r="R66"/>
      <c r="S66"/>
      <c r="V66"/>
      <c r="X66"/>
      <c r="Y66"/>
      <c r="Z66"/>
      <c r="AD66"/>
      <c r="AE66"/>
    </row>
    <row r="67" spans="1:31" x14ac:dyDescent="0.25">
      <c r="A67"/>
      <c r="E67"/>
      <c r="H67"/>
      <c r="I67"/>
      <c r="K67"/>
      <c r="L67"/>
      <c r="M67"/>
      <c r="N67"/>
      <c r="O67"/>
      <c r="Q67"/>
      <c r="R67"/>
      <c r="S67"/>
      <c r="V67"/>
      <c r="X67"/>
      <c r="Y67"/>
      <c r="Z67"/>
      <c r="AD67"/>
      <c r="AE67"/>
    </row>
    <row r="68" spans="1:31" x14ac:dyDescent="0.25">
      <c r="A68"/>
      <c r="E68"/>
      <c r="H68"/>
      <c r="I68"/>
      <c r="K68"/>
      <c r="L68"/>
      <c r="M68"/>
      <c r="N68"/>
      <c r="O68"/>
      <c r="Q68"/>
      <c r="R68"/>
      <c r="S68"/>
      <c r="V68"/>
      <c r="X68"/>
      <c r="Y68"/>
      <c r="Z68"/>
      <c r="AD68"/>
      <c r="AE68"/>
    </row>
    <row r="69" spans="1:31" x14ac:dyDescent="0.25">
      <c r="A69"/>
      <c r="E69"/>
      <c r="H69"/>
      <c r="I69"/>
      <c r="K69"/>
      <c r="L69"/>
      <c r="M69"/>
      <c r="N69"/>
      <c r="O69"/>
      <c r="Q69"/>
      <c r="R69"/>
      <c r="S69"/>
      <c r="V69"/>
      <c r="X69"/>
      <c r="Y69"/>
      <c r="Z69"/>
      <c r="AD69"/>
      <c r="AE69"/>
    </row>
    <row r="70" spans="1:31" x14ac:dyDescent="0.25">
      <c r="A70"/>
      <c r="E70"/>
      <c r="H70"/>
      <c r="I70"/>
      <c r="K70"/>
      <c r="L70"/>
      <c r="M70"/>
      <c r="N70"/>
      <c r="O70"/>
      <c r="Q70"/>
      <c r="R70"/>
      <c r="S70"/>
      <c r="V70"/>
      <c r="X70"/>
      <c r="Y70"/>
      <c r="Z70"/>
      <c r="AD70"/>
      <c r="AE70"/>
    </row>
    <row r="71" spans="1:31" x14ac:dyDescent="0.25">
      <c r="A71"/>
      <c r="E71"/>
      <c r="H71"/>
      <c r="I71"/>
      <c r="K71"/>
      <c r="L71"/>
      <c r="M71"/>
      <c r="N71"/>
      <c r="O71"/>
      <c r="Q71"/>
      <c r="R71"/>
      <c r="S71"/>
      <c r="V71"/>
      <c r="X71"/>
      <c r="Y71"/>
      <c r="Z71"/>
      <c r="AD71"/>
      <c r="AE71"/>
    </row>
    <row r="72" spans="1:31" x14ac:dyDescent="0.25">
      <c r="A72"/>
      <c r="E72"/>
      <c r="H72"/>
      <c r="I72"/>
      <c r="K72"/>
      <c r="L72"/>
      <c r="M72"/>
      <c r="N72"/>
      <c r="O72"/>
      <c r="Q72"/>
      <c r="R72"/>
      <c r="S72"/>
      <c r="V72"/>
      <c r="X72"/>
      <c r="Y72"/>
      <c r="Z72"/>
      <c r="AD72"/>
      <c r="AE72"/>
    </row>
    <row r="73" spans="1:31" x14ac:dyDescent="0.25">
      <c r="A73"/>
      <c r="E73"/>
      <c r="H73"/>
      <c r="I73"/>
      <c r="K73"/>
      <c r="L73"/>
      <c r="M73"/>
      <c r="N73"/>
      <c r="O73"/>
      <c r="Q73"/>
      <c r="R73"/>
      <c r="S73"/>
      <c r="V73"/>
      <c r="X73"/>
      <c r="Y73"/>
      <c r="Z73"/>
      <c r="AD73"/>
      <c r="AE73"/>
    </row>
    <row r="74" spans="1:31" x14ac:dyDescent="0.25">
      <c r="A74"/>
      <c r="E74"/>
      <c r="H74"/>
      <c r="I74"/>
      <c r="K74"/>
      <c r="L74"/>
      <c r="M74"/>
      <c r="N74"/>
      <c r="O74"/>
      <c r="Q74"/>
      <c r="R74"/>
      <c r="S74"/>
      <c r="V74"/>
      <c r="X74"/>
      <c r="Y74"/>
      <c r="Z74"/>
      <c r="AD74"/>
      <c r="AE74"/>
    </row>
    <row r="75" spans="1:31" x14ac:dyDescent="0.25">
      <c r="A75"/>
      <c r="E75"/>
      <c r="H75"/>
      <c r="I75"/>
      <c r="K75"/>
      <c r="L75"/>
      <c r="M75"/>
      <c r="N75"/>
      <c r="O75"/>
      <c r="Q75"/>
      <c r="R75"/>
      <c r="S75"/>
      <c r="V75"/>
      <c r="X75"/>
      <c r="Y75"/>
      <c r="Z75"/>
      <c r="AD75"/>
      <c r="AE75"/>
    </row>
    <row r="76" spans="1:31" x14ac:dyDescent="0.25">
      <c r="A76"/>
      <c r="E76"/>
      <c r="H76"/>
      <c r="I76"/>
      <c r="K76"/>
      <c r="L76"/>
      <c r="M76"/>
      <c r="N76"/>
      <c r="O76"/>
      <c r="Q76"/>
      <c r="R76"/>
      <c r="S76"/>
      <c r="V76"/>
      <c r="X76"/>
      <c r="Y76"/>
      <c r="Z76"/>
      <c r="AD76"/>
      <c r="AE76"/>
    </row>
    <row r="77" spans="1:31" x14ac:dyDescent="0.25">
      <c r="A77"/>
      <c r="E77"/>
      <c r="H77"/>
      <c r="I77"/>
      <c r="K77"/>
      <c r="L77"/>
      <c r="M77"/>
      <c r="N77"/>
      <c r="O77"/>
      <c r="Q77"/>
      <c r="R77"/>
      <c r="S77"/>
      <c r="V77"/>
      <c r="X77"/>
      <c r="Y77"/>
      <c r="Z77"/>
      <c r="AD77"/>
      <c r="AE77"/>
    </row>
    <row r="78" spans="1:31" x14ac:dyDescent="0.25">
      <c r="A78"/>
      <c r="E78"/>
      <c r="H78"/>
      <c r="I78"/>
      <c r="K78"/>
      <c r="L78"/>
      <c r="M78"/>
      <c r="N78"/>
      <c r="O78"/>
      <c r="Q78"/>
      <c r="R78"/>
      <c r="S78"/>
      <c r="V78"/>
      <c r="X78"/>
      <c r="Y78"/>
      <c r="Z78"/>
      <c r="AD78"/>
      <c r="AE78"/>
    </row>
    <row r="79" spans="1:31" x14ac:dyDescent="0.25">
      <c r="A79"/>
      <c r="E79"/>
      <c r="H79"/>
      <c r="I79"/>
      <c r="K79"/>
      <c r="L79"/>
      <c r="M79"/>
      <c r="N79"/>
      <c r="O79"/>
      <c r="Q79"/>
      <c r="R79"/>
      <c r="S79"/>
      <c r="V79"/>
      <c r="X79"/>
      <c r="Y79"/>
      <c r="Z79"/>
      <c r="AD79"/>
      <c r="AE79"/>
    </row>
    <row r="80" spans="1:31" x14ac:dyDescent="0.25">
      <c r="A80"/>
      <c r="E80"/>
      <c r="H80"/>
      <c r="I80"/>
      <c r="K80"/>
      <c r="L80"/>
      <c r="M80"/>
      <c r="N80"/>
      <c r="O80"/>
      <c r="Q80"/>
      <c r="R80"/>
      <c r="S80"/>
      <c r="V80"/>
      <c r="X80"/>
      <c r="Y80"/>
      <c r="Z80"/>
      <c r="AD80"/>
      <c r="AE80"/>
    </row>
    <row r="81" spans="1:31" x14ac:dyDescent="0.25">
      <c r="A81"/>
      <c r="E81"/>
      <c r="H81"/>
      <c r="I81"/>
      <c r="K81"/>
      <c r="L81"/>
      <c r="M81"/>
      <c r="N81"/>
      <c r="O81"/>
      <c r="Q81"/>
      <c r="R81"/>
      <c r="S81"/>
      <c r="V81"/>
      <c r="X81"/>
      <c r="Y81"/>
      <c r="Z81"/>
      <c r="AD81"/>
      <c r="AE81"/>
    </row>
    <row r="82" spans="1:31" x14ac:dyDescent="0.25">
      <c r="A82"/>
      <c r="E82"/>
      <c r="H82"/>
      <c r="I82"/>
      <c r="K82"/>
      <c r="L82"/>
      <c r="M82"/>
      <c r="N82"/>
      <c r="O82"/>
      <c r="Q82"/>
      <c r="R82"/>
      <c r="S82"/>
      <c r="V82"/>
      <c r="X82"/>
      <c r="Y82"/>
      <c r="Z82"/>
      <c r="AD82"/>
      <c r="AE82"/>
    </row>
    <row r="83" spans="1:31" x14ac:dyDescent="0.25">
      <c r="A83"/>
      <c r="E83"/>
      <c r="H83"/>
      <c r="I83"/>
      <c r="K83"/>
      <c r="L83"/>
      <c r="M83"/>
      <c r="N83"/>
      <c r="O83"/>
      <c r="Q83"/>
      <c r="R83"/>
      <c r="S83"/>
      <c r="V83"/>
      <c r="X83"/>
      <c r="Y83"/>
      <c r="Z83"/>
      <c r="AD83"/>
      <c r="AE83"/>
    </row>
    <row r="84" spans="1:31" x14ac:dyDescent="0.25">
      <c r="A84"/>
      <c r="E84"/>
      <c r="H84"/>
      <c r="I84"/>
      <c r="K84"/>
      <c r="L84"/>
      <c r="M84"/>
      <c r="N84"/>
      <c r="O84"/>
      <c r="Q84"/>
      <c r="R84"/>
      <c r="S84"/>
      <c r="V84"/>
      <c r="X84"/>
      <c r="Y84"/>
      <c r="Z84"/>
      <c r="AD84"/>
      <c r="AE84"/>
    </row>
    <row r="85" spans="1:31" x14ac:dyDescent="0.25">
      <c r="A85"/>
      <c r="E85"/>
      <c r="H85"/>
      <c r="I85"/>
      <c r="K85"/>
      <c r="L85"/>
      <c r="M85"/>
      <c r="N85"/>
      <c r="O85"/>
      <c r="Q85"/>
      <c r="R85"/>
      <c r="S85"/>
      <c r="V85"/>
      <c r="X85"/>
      <c r="Y85"/>
      <c r="Z85"/>
      <c r="AD85"/>
      <c r="AE85"/>
    </row>
    <row r="86" spans="1:31" x14ac:dyDescent="0.25">
      <c r="A86"/>
      <c r="E86"/>
      <c r="H86"/>
      <c r="I86"/>
      <c r="K86"/>
      <c r="L86"/>
      <c r="M86"/>
      <c r="N86"/>
      <c r="O86"/>
      <c r="Q86"/>
      <c r="R86"/>
      <c r="S86"/>
      <c r="V86"/>
      <c r="X86"/>
      <c r="Y86"/>
      <c r="Z86"/>
      <c r="AD86"/>
      <c r="AE86"/>
    </row>
    <row r="87" spans="1:31" x14ac:dyDescent="0.25">
      <c r="A87"/>
      <c r="E87"/>
      <c r="H87"/>
      <c r="I87"/>
      <c r="K87"/>
      <c r="L87"/>
      <c r="M87"/>
      <c r="N87"/>
      <c r="O87"/>
      <c r="Q87"/>
      <c r="R87"/>
      <c r="S87"/>
      <c r="V87"/>
      <c r="X87"/>
      <c r="Y87"/>
      <c r="Z87"/>
      <c r="AD87"/>
      <c r="AE87"/>
    </row>
    <row r="88" spans="1:31" x14ac:dyDescent="0.25">
      <c r="A88"/>
      <c r="E88"/>
      <c r="H88"/>
      <c r="I88"/>
      <c r="K88"/>
      <c r="L88"/>
      <c r="M88"/>
      <c r="N88"/>
      <c r="O88"/>
      <c r="Q88"/>
      <c r="R88"/>
      <c r="S88"/>
      <c r="V88"/>
      <c r="X88"/>
      <c r="Y88"/>
      <c r="Z88"/>
      <c r="AD88"/>
      <c r="AE88"/>
    </row>
    <row r="89" spans="1:31" x14ac:dyDescent="0.25">
      <c r="A89"/>
      <c r="E89"/>
      <c r="H89"/>
      <c r="I89"/>
      <c r="K89"/>
      <c r="L89"/>
      <c r="M89"/>
      <c r="N89"/>
      <c r="O89"/>
      <c r="Q89"/>
      <c r="R89"/>
      <c r="S89"/>
      <c r="V89"/>
      <c r="X89"/>
      <c r="Y89"/>
      <c r="Z89"/>
      <c r="AD89"/>
      <c r="AE89"/>
    </row>
    <row r="90" spans="1:31" x14ac:dyDescent="0.25">
      <c r="S90" s="36"/>
    </row>
    <row r="91" spans="1:31" x14ac:dyDescent="0.25">
      <c r="S91" s="36"/>
    </row>
    <row r="92" spans="1:31" x14ac:dyDescent="0.25">
      <c r="S92" s="36"/>
    </row>
    <row r="93" spans="1:31" x14ac:dyDescent="0.25">
      <c r="S93" s="36"/>
    </row>
    <row r="94" spans="1:31" x14ac:dyDescent="0.25">
      <c r="S94" s="36"/>
    </row>
    <row r="95" spans="1:31" x14ac:dyDescent="0.25">
      <c r="S95" s="36"/>
    </row>
    <row r="96" spans="1:31" x14ac:dyDescent="0.25">
      <c r="S96" s="36"/>
    </row>
    <row r="97" spans="19:19" x14ac:dyDescent="0.25">
      <c r="S97" s="36"/>
    </row>
    <row r="98" spans="19:19" x14ac:dyDescent="0.25">
      <c r="S98" s="36"/>
    </row>
    <row r="99" spans="19:19" x14ac:dyDescent="0.25">
      <c r="S99" s="36"/>
    </row>
    <row r="100" spans="19:19" x14ac:dyDescent="0.25">
      <c r="S100" s="36"/>
    </row>
    <row r="101" spans="19:19" x14ac:dyDescent="0.25">
      <c r="S101" s="36"/>
    </row>
    <row r="102" spans="19:19" x14ac:dyDescent="0.25">
      <c r="S102" s="36"/>
    </row>
    <row r="103" spans="19:19" x14ac:dyDescent="0.25">
      <c r="S103" s="36"/>
    </row>
    <row r="104" spans="19:19" x14ac:dyDescent="0.25">
      <c r="S104" s="36"/>
    </row>
    <row r="105" spans="19:19" x14ac:dyDescent="0.25">
      <c r="S105" s="36"/>
    </row>
    <row r="106" spans="19:19" x14ac:dyDescent="0.25">
      <c r="S106" s="36"/>
    </row>
    <row r="107" spans="19:19" x14ac:dyDescent="0.25">
      <c r="S107" s="36"/>
    </row>
    <row r="108" spans="19:19" x14ac:dyDescent="0.25">
      <c r="S108" s="36"/>
    </row>
    <row r="109" spans="19:19" x14ac:dyDescent="0.25">
      <c r="S109" s="36"/>
    </row>
    <row r="110" spans="19:19" x14ac:dyDescent="0.25">
      <c r="S110" s="36"/>
    </row>
    <row r="111" spans="19:19" x14ac:dyDescent="0.25">
      <c r="S111" s="36"/>
    </row>
    <row r="112" spans="19:19" x14ac:dyDescent="0.25">
      <c r="S112" s="36"/>
    </row>
    <row r="113" spans="19:19" x14ac:dyDescent="0.25">
      <c r="S113" s="36"/>
    </row>
    <row r="114" spans="19:19" x14ac:dyDescent="0.25">
      <c r="S114" s="36"/>
    </row>
    <row r="115" spans="19:19" x14ac:dyDescent="0.25">
      <c r="S115" s="36"/>
    </row>
    <row r="116" spans="19:19" x14ac:dyDescent="0.25">
      <c r="S116" s="36"/>
    </row>
    <row r="117" spans="19:19" x14ac:dyDescent="0.25">
      <c r="S117" s="36"/>
    </row>
    <row r="118" spans="19:19" x14ac:dyDescent="0.25">
      <c r="S118" s="36"/>
    </row>
    <row r="119" spans="19:19" x14ac:dyDescent="0.25">
      <c r="S119" s="36"/>
    </row>
    <row r="120" spans="19:19" x14ac:dyDescent="0.25">
      <c r="S120" s="36"/>
    </row>
    <row r="121" spans="19:19" x14ac:dyDescent="0.25">
      <c r="S121" s="36"/>
    </row>
    <row r="122" spans="19:19" x14ac:dyDescent="0.25">
      <c r="S122" s="36"/>
    </row>
    <row r="123" spans="19:19" x14ac:dyDescent="0.25">
      <c r="S123" s="36"/>
    </row>
    <row r="124" spans="19:19" x14ac:dyDescent="0.25">
      <c r="S124" s="36"/>
    </row>
    <row r="125" spans="19:19" x14ac:dyDescent="0.25">
      <c r="S125" s="36"/>
    </row>
    <row r="126" spans="19:19" x14ac:dyDescent="0.25">
      <c r="S126" s="36"/>
    </row>
    <row r="127" spans="19:19" x14ac:dyDescent="0.25">
      <c r="S127" s="36"/>
    </row>
    <row r="128" spans="19:19" x14ac:dyDescent="0.25">
      <c r="S128" s="36"/>
    </row>
    <row r="129" spans="19:19" x14ac:dyDescent="0.25">
      <c r="S129" s="36"/>
    </row>
    <row r="130" spans="19:19" x14ac:dyDescent="0.25">
      <c r="S130" s="36"/>
    </row>
    <row r="131" spans="19:19" x14ac:dyDescent="0.25">
      <c r="S131" s="36"/>
    </row>
    <row r="132" spans="19:19" x14ac:dyDescent="0.25">
      <c r="S132" s="36"/>
    </row>
    <row r="133" spans="19:19" x14ac:dyDescent="0.25">
      <c r="S133" s="36"/>
    </row>
    <row r="134" spans="19:19" x14ac:dyDescent="0.25">
      <c r="S134" s="36"/>
    </row>
    <row r="135" spans="19:19" x14ac:dyDescent="0.25">
      <c r="S135" s="36"/>
    </row>
    <row r="136" spans="19:19" x14ac:dyDescent="0.25">
      <c r="S136" s="36"/>
    </row>
    <row r="137" spans="19:19" x14ac:dyDescent="0.25">
      <c r="S137" s="36"/>
    </row>
    <row r="138" spans="19:19" x14ac:dyDescent="0.25">
      <c r="S138" s="36"/>
    </row>
    <row r="139" spans="19:19" x14ac:dyDescent="0.25">
      <c r="S139" s="36"/>
    </row>
    <row r="140" spans="19:19" x14ac:dyDescent="0.25">
      <c r="S140" s="36"/>
    </row>
    <row r="141" spans="19:19" x14ac:dyDescent="0.25">
      <c r="S141" s="36"/>
    </row>
    <row r="142" spans="19:19" x14ac:dyDescent="0.25">
      <c r="S142" s="36"/>
    </row>
    <row r="143" spans="19:19" x14ac:dyDescent="0.25">
      <c r="S143" s="36"/>
    </row>
    <row r="144" spans="19:19" x14ac:dyDescent="0.25">
      <c r="S144" s="36"/>
    </row>
    <row r="145" spans="19:19" x14ac:dyDescent="0.25">
      <c r="S145" s="36"/>
    </row>
    <row r="146" spans="19:19" x14ac:dyDescent="0.25">
      <c r="S146" s="36"/>
    </row>
    <row r="147" spans="19:19" x14ac:dyDescent="0.25">
      <c r="S147" s="36"/>
    </row>
    <row r="148" spans="19:19" x14ac:dyDescent="0.25">
      <c r="S148" s="36"/>
    </row>
    <row r="149" spans="19:19" x14ac:dyDescent="0.25">
      <c r="S149" s="36"/>
    </row>
    <row r="150" spans="19:19" x14ac:dyDescent="0.25">
      <c r="S150" s="36"/>
    </row>
    <row r="151" spans="19:19" x14ac:dyDescent="0.25">
      <c r="S151" s="36"/>
    </row>
    <row r="152" spans="19:19" x14ac:dyDescent="0.25">
      <c r="S152" s="36"/>
    </row>
    <row r="153" spans="19:19" x14ac:dyDescent="0.25">
      <c r="S153" s="36"/>
    </row>
    <row r="154" spans="19:19" x14ac:dyDescent="0.25">
      <c r="S154" s="36"/>
    </row>
    <row r="155" spans="19:19" x14ac:dyDescent="0.25">
      <c r="S155" s="36"/>
    </row>
    <row r="156" spans="19:19" x14ac:dyDescent="0.25">
      <c r="S156" s="36"/>
    </row>
    <row r="157" spans="19:19" x14ac:dyDescent="0.25">
      <c r="S157" s="36"/>
    </row>
    <row r="158" spans="19:19" x14ac:dyDescent="0.25">
      <c r="S158" s="36"/>
    </row>
    <row r="159" spans="19:19" x14ac:dyDescent="0.25">
      <c r="S159" s="36"/>
    </row>
    <row r="160" spans="19:19" x14ac:dyDescent="0.25">
      <c r="S160" s="36"/>
    </row>
    <row r="161" spans="19:19" x14ac:dyDescent="0.25">
      <c r="S161" s="36"/>
    </row>
    <row r="162" spans="19:19" x14ac:dyDescent="0.25">
      <c r="S162" s="36"/>
    </row>
    <row r="163" spans="19:19" x14ac:dyDescent="0.25">
      <c r="S163" s="36"/>
    </row>
    <row r="164" spans="19:19" x14ac:dyDescent="0.25">
      <c r="S164" s="36"/>
    </row>
    <row r="165" spans="19:19" x14ac:dyDescent="0.25">
      <c r="S165" s="36"/>
    </row>
    <row r="166" spans="19:19" x14ac:dyDescent="0.25">
      <c r="S166" s="36"/>
    </row>
    <row r="167" spans="19:19" x14ac:dyDescent="0.25">
      <c r="S167" s="36"/>
    </row>
    <row r="168" spans="19:19" x14ac:dyDescent="0.25">
      <c r="S168" s="36"/>
    </row>
    <row r="169" spans="19:19" x14ac:dyDescent="0.25">
      <c r="S169" s="36"/>
    </row>
    <row r="170" spans="19:19" x14ac:dyDescent="0.25">
      <c r="S170" s="36"/>
    </row>
    <row r="171" spans="19:19" x14ac:dyDescent="0.25">
      <c r="S171" s="36"/>
    </row>
    <row r="172" spans="19:19" x14ac:dyDescent="0.25">
      <c r="S172" s="36"/>
    </row>
    <row r="173" spans="19:19" x14ac:dyDescent="0.25">
      <c r="S173" s="36"/>
    </row>
    <row r="174" spans="19:19" x14ac:dyDescent="0.25">
      <c r="S174" s="36"/>
    </row>
    <row r="175" spans="19:19" x14ac:dyDescent="0.25">
      <c r="S175" s="36"/>
    </row>
    <row r="176" spans="19:19" x14ac:dyDescent="0.25">
      <c r="S176" s="36"/>
    </row>
    <row r="177" spans="19:19" x14ac:dyDescent="0.25">
      <c r="S177" s="36"/>
    </row>
    <row r="178" spans="19:19" x14ac:dyDescent="0.25">
      <c r="S178" s="36"/>
    </row>
    <row r="179" spans="19:19" x14ac:dyDescent="0.25">
      <c r="S179" s="36"/>
    </row>
    <row r="180" spans="19:19" x14ac:dyDescent="0.25">
      <c r="S180" s="36"/>
    </row>
    <row r="181" spans="19:19" x14ac:dyDescent="0.25">
      <c r="S181" s="36"/>
    </row>
    <row r="182" spans="19:19" x14ac:dyDescent="0.25">
      <c r="S182" s="36"/>
    </row>
    <row r="183" spans="19:19" x14ac:dyDescent="0.25">
      <c r="S183" s="36"/>
    </row>
    <row r="184" spans="19:19" x14ac:dyDescent="0.25">
      <c r="S184" s="36"/>
    </row>
    <row r="185" spans="19:19" x14ac:dyDescent="0.25">
      <c r="S185" s="36"/>
    </row>
    <row r="186" spans="19:19" x14ac:dyDescent="0.25">
      <c r="S186" s="36"/>
    </row>
    <row r="187" spans="19:19" x14ac:dyDescent="0.25">
      <c r="S187" s="36"/>
    </row>
    <row r="188" spans="19:19" x14ac:dyDescent="0.25">
      <c r="S188" s="36"/>
    </row>
    <row r="189" spans="19:19" x14ac:dyDescent="0.25">
      <c r="S189" s="36"/>
    </row>
    <row r="190" spans="19:19" x14ac:dyDescent="0.25">
      <c r="S190" s="36"/>
    </row>
    <row r="191" spans="19:19" x14ac:dyDescent="0.25">
      <c r="S191" s="36"/>
    </row>
    <row r="192" spans="19:19" x14ac:dyDescent="0.25">
      <c r="S192" s="36"/>
    </row>
    <row r="193" spans="19:19" x14ac:dyDescent="0.25">
      <c r="S193" s="36"/>
    </row>
    <row r="194" spans="19:19" x14ac:dyDescent="0.25">
      <c r="S194" s="36"/>
    </row>
    <row r="195" spans="19:19" x14ac:dyDescent="0.25">
      <c r="S195" s="36"/>
    </row>
    <row r="196" spans="19:19" x14ac:dyDescent="0.25">
      <c r="S196" s="36"/>
    </row>
    <row r="197" spans="19:19" x14ac:dyDescent="0.25">
      <c r="S197" s="36"/>
    </row>
    <row r="198" spans="19:19" x14ac:dyDescent="0.25">
      <c r="S198" s="36"/>
    </row>
    <row r="199" spans="19:19" x14ac:dyDescent="0.25">
      <c r="S199" s="36"/>
    </row>
    <row r="200" spans="19:19" x14ac:dyDescent="0.25">
      <c r="S200" s="36"/>
    </row>
    <row r="201" spans="19:19" x14ac:dyDescent="0.25">
      <c r="S201" s="36"/>
    </row>
    <row r="202" spans="19:19" x14ac:dyDescent="0.25">
      <c r="S202" s="36"/>
    </row>
    <row r="203" spans="19:19" x14ac:dyDescent="0.25">
      <c r="S203" s="36"/>
    </row>
    <row r="204" spans="19:19" x14ac:dyDescent="0.25">
      <c r="S204" s="36"/>
    </row>
    <row r="205" spans="19:19" x14ac:dyDescent="0.25">
      <c r="S205" s="36"/>
    </row>
    <row r="206" spans="19:19" x14ac:dyDescent="0.25">
      <c r="S206" s="36"/>
    </row>
    <row r="207" spans="19:19" x14ac:dyDescent="0.25">
      <c r="S207" s="36"/>
    </row>
    <row r="208" spans="19:19" x14ac:dyDescent="0.25">
      <c r="S208" s="36"/>
    </row>
    <row r="209" spans="19:19" x14ac:dyDescent="0.25">
      <c r="S209" s="36"/>
    </row>
    <row r="210" spans="19:19" x14ac:dyDescent="0.25">
      <c r="S210" s="36"/>
    </row>
    <row r="211" spans="19:19" x14ac:dyDescent="0.25">
      <c r="S211" s="36"/>
    </row>
    <row r="212" spans="19:19" x14ac:dyDescent="0.25">
      <c r="S212" s="36"/>
    </row>
    <row r="213" spans="19:19" x14ac:dyDescent="0.25">
      <c r="S213" s="36"/>
    </row>
    <row r="214" spans="19:19" x14ac:dyDescent="0.25">
      <c r="S214" s="36"/>
    </row>
    <row r="215" spans="19:19" x14ac:dyDescent="0.25">
      <c r="S215" s="36"/>
    </row>
    <row r="216" spans="19:19" x14ac:dyDescent="0.25">
      <c r="S216" s="36"/>
    </row>
    <row r="217" spans="19:19" x14ac:dyDescent="0.25">
      <c r="S217" s="36"/>
    </row>
    <row r="218" spans="19:19" x14ac:dyDescent="0.25">
      <c r="S218" s="36"/>
    </row>
    <row r="219" spans="19:19" x14ac:dyDescent="0.25">
      <c r="S219" s="36"/>
    </row>
    <row r="220" spans="19:19" x14ac:dyDescent="0.25">
      <c r="S220" s="36"/>
    </row>
    <row r="221" spans="19:19" x14ac:dyDescent="0.25">
      <c r="S221" s="36"/>
    </row>
    <row r="222" spans="19:19" x14ac:dyDescent="0.25">
      <c r="S222" s="36"/>
    </row>
    <row r="223" spans="19:19" x14ac:dyDescent="0.25">
      <c r="S223" s="36"/>
    </row>
    <row r="224" spans="19:19" x14ac:dyDescent="0.25">
      <c r="S224" s="36"/>
    </row>
    <row r="225" spans="19:19" x14ac:dyDescent="0.25">
      <c r="S225" s="36"/>
    </row>
    <row r="226" spans="19:19" x14ac:dyDescent="0.25">
      <c r="S226" s="36"/>
    </row>
    <row r="227" spans="19:19" x14ac:dyDescent="0.25">
      <c r="S227" s="36"/>
    </row>
    <row r="228" spans="19:19" x14ac:dyDescent="0.25">
      <c r="S228" s="36"/>
    </row>
    <row r="229" spans="19:19" x14ac:dyDescent="0.25">
      <c r="S229" s="36"/>
    </row>
    <row r="230" spans="19:19" x14ac:dyDescent="0.25">
      <c r="S230" s="36"/>
    </row>
    <row r="231" spans="19:19" x14ac:dyDescent="0.25">
      <c r="S231" s="36"/>
    </row>
    <row r="232" spans="19:19" x14ac:dyDescent="0.25">
      <c r="S232" s="36"/>
    </row>
    <row r="233" spans="19:19" x14ac:dyDescent="0.25">
      <c r="S233" s="36"/>
    </row>
    <row r="234" spans="19:19" x14ac:dyDescent="0.25">
      <c r="S234" s="36"/>
    </row>
    <row r="235" spans="19:19" x14ac:dyDescent="0.25">
      <c r="S235" s="36"/>
    </row>
    <row r="236" spans="19:19" x14ac:dyDescent="0.25">
      <c r="S236" s="36"/>
    </row>
    <row r="237" spans="19:19" x14ac:dyDescent="0.25">
      <c r="S237" s="36"/>
    </row>
    <row r="238" spans="19:19" x14ac:dyDescent="0.25">
      <c r="S238" s="36"/>
    </row>
    <row r="239" spans="19:19" x14ac:dyDescent="0.25">
      <c r="S239" s="36"/>
    </row>
    <row r="240" spans="19:19" x14ac:dyDescent="0.25">
      <c r="S240" s="36"/>
    </row>
    <row r="241" spans="19:19" x14ac:dyDescent="0.25">
      <c r="S241" s="36"/>
    </row>
    <row r="242" spans="19:19" x14ac:dyDescent="0.25">
      <c r="S242" s="36"/>
    </row>
    <row r="243" spans="19:19" x14ac:dyDescent="0.25">
      <c r="S243" s="36"/>
    </row>
    <row r="244" spans="19:19" x14ac:dyDescent="0.25">
      <c r="S244" s="36"/>
    </row>
    <row r="245" spans="19:19" x14ac:dyDescent="0.25">
      <c r="S245" s="36"/>
    </row>
    <row r="246" spans="19:19" x14ac:dyDescent="0.25">
      <c r="S246" s="36"/>
    </row>
    <row r="247" spans="19:19" x14ac:dyDescent="0.25">
      <c r="S247" s="36"/>
    </row>
    <row r="248" spans="19:19" x14ac:dyDescent="0.25">
      <c r="S248" s="36"/>
    </row>
    <row r="249" spans="19:19" x14ac:dyDescent="0.25">
      <c r="S249" s="36"/>
    </row>
    <row r="250" spans="19:19" x14ac:dyDescent="0.25">
      <c r="S250" s="36"/>
    </row>
    <row r="251" spans="19:19" x14ac:dyDescent="0.25">
      <c r="S251" s="36"/>
    </row>
    <row r="252" spans="19:19" x14ac:dyDescent="0.25">
      <c r="S252" s="36"/>
    </row>
    <row r="253" spans="19:19" x14ac:dyDescent="0.25">
      <c r="S253" s="36"/>
    </row>
    <row r="254" spans="19:19" x14ac:dyDescent="0.25">
      <c r="S254" s="36"/>
    </row>
    <row r="255" spans="19:19" x14ac:dyDescent="0.25">
      <c r="S255" s="36"/>
    </row>
    <row r="256" spans="19:19" x14ac:dyDescent="0.25">
      <c r="S256" s="36"/>
    </row>
    <row r="257" spans="19:19" x14ac:dyDescent="0.25">
      <c r="S257" s="36"/>
    </row>
    <row r="258" spans="19:19" x14ac:dyDescent="0.25">
      <c r="S258" s="36"/>
    </row>
    <row r="259" spans="19:19" x14ac:dyDescent="0.25">
      <c r="S259" s="36"/>
    </row>
    <row r="260" spans="19:19" x14ac:dyDescent="0.25">
      <c r="S260" s="36"/>
    </row>
    <row r="261" spans="19:19" x14ac:dyDescent="0.25">
      <c r="S261" s="36"/>
    </row>
    <row r="262" spans="19:19" x14ac:dyDescent="0.25">
      <c r="S262" s="36"/>
    </row>
    <row r="263" spans="19:19" x14ac:dyDescent="0.25">
      <c r="S263" s="36"/>
    </row>
    <row r="264" spans="19:19" x14ac:dyDescent="0.25">
      <c r="S264" s="36"/>
    </row>
    <row r="265" spans="19:19" x14ac:dyDescent="0.25">
      <c r="S265" s="36"/>
    </row>
    <row r="266" spans="19:19" x14ac:dyDescent="0.25">
      <c r="S266" s="36"/>
    </row>
    <row r="267" spans="19:19" x14ac:dyDescent="0.25">
      <c r="S267" s="36"/>
    </row>
    <row r="268" spans="19:19" x14ac:dyDescent="0.25">
      <c r="S268" s="36"/>
    </row>
    <row r="269" spans="19:19" x14ac:dyDescent="0.25">
      <c r="S269" s="36"/>
    </row>
    <row r="270" spans="19:19" x14ac:dyDescent="0.25">
      <c r="S270" s="36"/>
    </row>
    <row r="271" spans="19:19" x14ac:dyDescent="0.25">
      <c r="S271" s="36"/>
    </row>
    <row r="272" spans="19:19" x14ac:dyDescent="0.25">
      <c r="S272" s="36"/>
    </row>
    <row r="273" spans="19:19" x14ac:dyDescent="0.25">
      <c r="S273" s="36"/>
    </row>
    <row r="274" spans="19:19" x14ac:dyDescent="0.25">
      <c r="S274" s="36"/>
    </row>
    <row r="275" spans="19:19" x14ac:dyDescent="0.25">
      <c r="S275" s="36"/>
    </row>
    <row r="276" spans="19:19" x14ac:dyDescent="0.25">
      <c r="S276" s="36"/>
    </row>
    <row r="277" spans="19:19" x14ac:dyDescent="0.25">
      <c r="S277" s="36"/>
    </row>
    <row r="278" spans="19:19" x14ac:dyDescent="0.25">
      <c r="S278" s="36"/>
    </row>
    <row r="279" spans="19:19" x14ac:dyDescent="0.25">
      <c r="S279" s="36"/>
    </row>
    <row r="280" spans="19:19" x14ac:dyDescent="0.25">
      <c r="S280" s="36"/>
    </row>
    <row r="281" spans="19:19" x14ac:dyDescent="0.25">
      <c r="S281" s="36"/>
    </row>
    <row r="282" spans="19:19" x14ac:dyDescent="0.25">
      <c r="S282" s="36"/>
    </row>
    <row r="283" spans="19:19" x14ac:dyDescent="0.25">
      <c r="S283" s="36"/>
    </row>
    <row r="284" spans="19:19" x14ac:dyDescent="0.25">
      <c r="S284" s="36"/>
    </row>
    <row r="285" spans="19:19" x14ac:dyDescent="0.25">
      <c r="S285" s="36"/>
    </row>
    <row r="286" spans="19:19" x14ac:dyDescent="0.25">
      <c r="S286" s="36"/>
    </row>
    <row r="287" spans="19:19" x14ac:dyDescent="0.25">
      <c r="S287" s="36"/>
    </row>
    <row r="288" spans="19:19" x14ac:dyDescent="0.25">
      <c r="S288" s="36"/>
    </row>
    <row r="289" spans="19:19" x14ac:dyDescent="0.25">
      <c r="S289" s="36"/>
    </row>
    <row r="290" spans="19:19" x14ac:dyDescent="0.25">
      <c r="S290" s="36"/>
    </row>
    <row r="291" spans="19:19" x14ac:dyDescent="0.25">
      <c r="S291" s="36"/>
    </row>
    <row r="292" spans="19:19" x14ac:dyDescent="0.25">
      <c r="S292" s="36"/>
    </row>
    <row r="293" spans="19:19" x14ac:dyDescent="0.25">
      <c r="S293" s="36"/>
    </row>
    <row r="294" spans="19:19" x14ac:dyDescent="0.25">
      <c r="S294" s="36"/>
    </row>
    <row r="295" spans="19:19" x14ac:dyDescent="0.25">
      <c r="S295" s="36"/>
    </row>
    <row r="296" spans="19:19" x14ac:dyDescent="0.25">
      <c r="S296" s="36"/>
    </row>
    <row r="297" spans="19:19" x14ac:dyDescent="0.25">
      <c r="S297" s="36"/>
    </row>
    <row r="298" spans="19:19" x14ac:dyDescent="0.25">
      <c r="S298" s="36"/>
    </row>
    <row r="299" spans="19:19" x14ac:dyDescent="0.25">
      <c r="S299" s="36"/>
    </row>
    <row r="300" spans="19:19" x14ac:dyDescent="0.25">
      <c r="S300" s="36"/>
    </row>
    <row r="301" spans="19:19" x14ac:dyDescent="0.25">
      <c r="S301" s="36"/>
    </row>
    <row r="302" spans="19:19" x14ac:dyDescent="0.25">
      <c r="S302" s="36"/>
    </row>
    <row r="303" spans="19:19" x14ac:dyDescent="0.25">
      <c r="S303" s="36"/>
    </row>
    <row r="304" spans="19:19" x14ac:dyDescent="0.25">
      <c r="S304" s="36"/>
    </row>
    <row r="305" spans="19:19" x14ac:dyDescent="0.25">
      <c r="S305" s="36"/>
    </row>
    <row r="306" spans="19:19" x14ac:dyDescent="0.25">
      <c r="S306" s="36"/>
    </row>
    <row r="307" spans="19:19" x14ac:dyDescent="0.25">
      <c r="S307" s="36"/>
    </row>
    <row r="308" spans="19:19" x14ac:dyDescent="0.25">
      <c r="S308" s="36"/>
    </row>
    <row r="309" spans="19:19" x14ac:dyDescent="0.25">
      <c r="S309" s="36"/>
    </row>
    <row r="310" spans="19:19" x14ac:dyDescent="0.25">
      <c r="S310" s="36"/>
    </row>
    <row r="311" spans="19:19" x14ac:dyDescent="0.25">
      <c r="S311" s="36"/>
    </row>
    <row r="312" spans="19:19" x14ac:dyDescent="0.25">
      <c r="S312" s="36"/>
    </row>
    <row r="313" spans="19:19" x14ac:dyDescent="0.25">
      <c r="S313" s="36"/>
    </row>
    <row r="314" spans="19:19" x14ac:dyDescent="0.25">
      <c r="S314" s="36"/>
    </row>
    <row r="315" spans="19:19" x14ac:dyDescent="0.25">
      <c r="S315" s="36"/>
    </row>
    <row r="316" spans="19:19" x14ac:dyDescent="0.25">
      <c r="S316" s="36"/>
    </row>
    <row r="317" spans="19:19" x14ac:dyDescent="0.25">
      <c r="S317" s="36"/>
    </row>
    <row r="318" spans="19:19" x14ac:dyDescent="0.25">
      <c r="S318" s="36"/>
    </row>
    <row r="319" spans="19:19" x14ac:dyDescent="0.25">
      <c r="S319" s="36"/>
    </row>
    <row r="320" spans="19:19" x14ac:dyDescent="0.25">
      <c r="S320" s="36"/>
    </row>
    <row r="321" spans="19:19" x14ac:dyDescent="0.25">
      <c r="S321" s="36"/>
    </row>
    <row r="322" spans="19:19" x14ac:dyDescent="0.25">
      <c r="S322" s="36"/>
    </row>
    <row r="323" spans="19:19" x14ac:dyDescent="0.25">
      <c r="S323" s="36"/>
    </row>
    <row r="324" spans="19:19" x14ac:dyDescent="0.25">
      <c r="S324" s="36"/>
    </row>
    <row r="325" spans="19:19" x14ac:dyDescent="0.25">
      <c r="S325" s="36"/>
    </row>
    <row r="326" spans="19:19" x14ac:dyDescent="0.25">
      <c r="S326" s="36"/>
    </row>
    <row r="327" spans="19:19" x14ac:dyDescent="0.25">
      <c r="S327" s="36"/>
    </row>
    <row r="328" spans="19:19" x14ac:dyDescent="0.25">
      <c r="S328" s="36"/>
    </row>
    <row r="329" spans="19:19" x14ac:dyDescent="0.25">
      <c r="S329" s="36"/>
    </row>
    <row r="330" spans="19:19" x14ac:dyDescent="0.25">
      <c r="S330" s="36"/>
    </row>
    <row r="331" spans="19:19" x14ac:dyDescent="0.25">
      <c r="S331" s="36"/>
    </row>
    <row r="332" spans="19:19" x14ac:dyDescent="0.25">
      <c r="S332" s="36"/>
    </row>
    <row r="333" spans="19:19" x14ac:dyDescent="0.25">
      <c r="S333" s="36"/>
    </row>
    <row r="334" spans="19:19" x14ac:dyDescent="0.25">
      <c r="S334" s="36"/>
    </row>
    <row r="335" spans="19:19" x14ac:dyDescent="0.25">
      <c r="S335" s="36"/>
    </row>
    <row r="336" spans="19:19" x14ac:dyDescent="0.25">
      <c r="S336" s="36"/>
    </row>
    <row r="337" spans="19:19" x14ac:dyDescent="0.25">
      <c r="S337" s="36"/>
    </row>
    <row r="338" spans="19:19" x14ac:dyDescent="0.25">
      <c r="S338" s="36"/>
    </row>
    <row r="339" spans="19:19" x14ac:dyDescent="0.25">
      <c r="S339" s="36"/>
    </row>
    <row r="340" spans="19:19" x14ac:dyDescent="0.25">
      <c r="S340" s="36"/>
    </row>
    <row r="341" spans="19:19" x14ac:dyDescent="0.25">
      <c r="S341" s="36"/>
    </row>
    <row r="342" spans="19:19" x14ac:dyDescent="0.25">
      <c r="S342" s="36"/>
    </row>
    <row r="343" spans="19:19" x14ac:dyDescent="0.25">
      <c r="S343" s="36"/>
    </row>
    <row r="344" spans="19:19" x14ac:dyDescent="0.25">
      <c r="S344" s="36"/>
    </row>
    <row r="345" spans="19:19" x14ac:dyDescent="0.25">
      <c r="S345" s="36"/>
    </row>
    <row r="346" spans="19:19" x14ac:dyDescent="0.25">
      <c r="S346" s="36"/>
    </row>
    <row r="347" spans="19:19" x14ac:dyDescent="0.25">
      <c r="S347" s="36"/>
    </row>
    <row r="348" spans="19:19" x14ac:dyDescent="0.25">
      <c r="S348" s="36"/>
    </row>
    <row r="349" spans="19:19" x14ac:dyDescent="0.25">
      <c r="S349" s="36"/>
    </row>
    <row r="350" spans="19:19" x14ac:dyDescent="0.25">
      <c r="S350" s="36"/>
    </row>
    <row r="351" spans="19:19" x14ac:dyDescent="0.25">
      <c r="S351" s="36"/>
    </row>
    <row r="352" spans="19:19" x14ac:dyDescent="0.25">
      <c r="S352" s="36"/>
    </row>
    <row r="353" spans="19:19" x14ac:dyDescent="0.25">
      <c r="S353" s="36"/>
    </row>
    <row r="354" spans="19:19" x14ac:dyDescent="0.25">
      <c r="S354" s="36"/>
    </row>
    <row r="355" spans="19:19" x14ac:dyDescent="0.25">
      <c r="S355" s="36"/>
    </row>
    <row r="356" spans="19:19" x14ac:dyDescent="0.25">
      <c r="S356" s="36"/>
    </row>
    <row r="357" spans="19:19" x14ac:dyDescent="0.25">
      <c r="S357" s="36"/>
    </row>
    <row r="358" spans="19:19" x14ac:dyDescent="0.25">
      <c r="S358" s="36"/>
    </row>
    <row r="359" spans="19:19" x14ac:dyDescent="0.25">
      <c r="S359" s="36"/>
    </row>
    <row r="360" spans="19:19" x14ac:dyDescent="0.25">
      <c r="S360" s="36"/>
    </row>
    <row r="361" spans="19:19" x14ac:dyDescent="0.25">
      <c r="S361" s="36"/>
    </row>
    <row r="362" spans="19:19" x14ac:dyDescent="0.25">
      <c r="S362" s="36"/>
    </row>
    <row r="363" spans="19:19" x14ac:dyDescent="0.25">
      <c r="S363" s="36"/>
    </row>
    <row r="364" spans="19:19" x14ac:dyDescent="0.25">
      <c r="S364" s="36"/>
    </row>
    <row r="365" spans="19:19" x14ac:dyDescent="0.25">
      <c r="S365" s="36"/>
    </row>
    <row r="366" spans="19:19" x14ac:dyDescent="0.25">
      <c r="S366" s="36"/>
    </row>
    <row r="367" spans="19:19" x14ac:dyDescent="0.25">
      <c r="S367" s="36"/>
    </row>
    <row r="368" spans="19:19" x14ac:dyDescent="0.25">
      <c r="S368" s="36"/>
    </row>
    <row r="369" spans="19:19" x14ac:dyDescent="0.25">
      <c r="S369" s="36"/>
    </row>
    <row r="370" spans="19:19" x14ac:dyDescent="0.25">
      <c r="S370" s="36"/>
    </row>
    <row r="371" spans="19:19" x14ac:dyDescent="0.25">
      <c r="S371" s="36"/>
    </row>
    <row r="372" spans="19:19" x14ac:dyDescent="0.25">
      <c r="S372" s="36"/>
    </row>
    <row r="373" spans="19:19" x14ac:dyDescent="0.25">
      <c r="S373" s="36"/>
    </row>
    <row r="374" spans="19:19" x14ac:dyDescent="0.25">
      <c r="S374" s="36"/>
    </row>
    <row r="375" spans="19:19" x14ac:dyDescent="0.25">
      <c r="S375" s="36"/>
    </row>
    <row r="376" spans="19:19" x14ac:dyDescent="0.25">
      <c r="S376" s="36"/>
    </row>
    <row r="377" spans="19:19" x14ac:dyDescent="0.25">
      <c r="S377" s="36"/>
    </row>
    <row r="378" spans="19:19" x14ac:dyDescent="0.25">
      <c r="S378" s="36"/>
    </row>
    <row r="379" spans="19:19" x14ac:dyDescent="0.25">
      <c r="S379" s="36"/>
    </row>
    <row r="380" spans="19:19" x14ac:dyDescent="0.25">
      <c r="S380" s="36"/>
    </row>
    <row r="381" spans="19:19" x14ac:dyDescent="0.25">
      <c r="S381" s="36"/>
    </row>
    <row r="382" spans="19:19" x14ac:dyDescent="0.25">
      <c r="S382" s="36"/>
    </row>
    <row r="383" spans="19:19" x14ac:dyDescent="0.25">
      <c r="S383" s="36"/>
    </row>
    <row r="384" spans="19:19" x14ac:dyDescent="0.25">
      <c r="S384" s="36"/>
    </row>
    <row r="385" spans="19:19" x14ac:dyDescent="0.25">
      <c r="S385" s="36"/>
    </row>
    <row r="386" spans="19:19" x14ac:dyDescent="0.25">
      <c r="S386" s="36"/>
    </row>
    <row r="387" spans="19:19" x14ac:dyDescent="0.25">
      <c r="S387" s="36"/>
    </row>
    <row r="388" spans="19:19" x14ac:dyDescent="0.25">
      <c r="S388" s="36"/>
    </row>
    <row r="389" spans="19:19" x14ac:dyDescent="0.25">
      <c r="S389" s="36"/>
    </row>
    <row r="390" spans="19:19" x14ac:dyDescent="0.25">
      <c r="S390" s="36"/>
    </row>
    <row r="391" spans="19:19" x14ac:dyDescent="0.25">
      <c r="S391" s="36"/>
    </row>
    <row r="392" spans="19:19" x14ac:dyDescent="0.25">
      <c r="S392" s="36"/>
    </row>
    <row r="393" spans="19:19" x14ac:dyDescent="0.25">
      <c r="S393" s="36"/>
    </row>
    <row r="394" spans="19:19" x14ac:dyDescent="0.25">
      <c r="S394" s="36"/>
    </row>
    <row r="395" spans="19:19" x14ac:dyDescent="0.25">
      <c r="S395" s="36"/>
    </row>
    <row r="396" spans="19:19" x14ac:dyDescent="0.25">
      <c r="S396" s="36"/>
    </row>
    <row r="397" spans="19:19" x14ac:dyDescent="0.25">
      <c r="S397" s="36"/>
    </row>
    <row r="398" spans="19:19" x14ac:dyDescent="0.25">
      <c r="S398" s="36"/>
    </row>
    <row r="399" spans="19:19" x14ac:dyDescent="0.25">
      <c r="S399" s="36"/>
    </row>
    <row r="400" spans="19:19" x14ac:dyDescent="0.25">
      <c r="S400" s="36"/>
    </row>
    <row r="401" spans="19:19" x14ac:dyDescent="0.25">
      <c r="S401" s="36"/>
    </row>
    <row r="402" spans="19:19" x14ac:dyDescent="0.25">
      <c r="S402" s="36"/>
    </row>
    <row r="403" spans="19:19" x14ac:dyDescent="0.25">
      <c r="S403" s="36"/>
    </row>
    <row r="404" spans="19:19" x14ac:dyDescent="0.25">
      <c r="S404" s="36"/>
    </row>
    <row r="405" spans="19:19" x14ac:dyDescent="0.25">
      <c r="S405" s="36"/>
    </row>
    <row r="406" spans="19:19" x14ac:dyDescent="0.25">
      <c r="S406" s="36"/>
    </row>
    <row r="407" spans="19:19" x14ac:dyDescent="0.25">
      <c r="S407" s="36"/>
    </row>
    <row r="408" spans="19:19" x14ac:dyDescent="0.25">
      <c r="S408" s="36"/>
    </row>
    <row r="409" spans="19:19" x14ac:dyDescent="0.25">
      <c r="S409" s="36"/>
    </row>
    <row r="410" spans="19:19" x14ac:dyDescent="0.25">
      <c r="S410" s="36"/>
    </row>
    <row r="411" spans="19:19" x14ac:dyDescent="0.25">
      <c r="S411" s="36"/>
    </row>
    <row r="412" spans="19:19" x14ac:dyDescent="0.25">
      <c r="S412" s="36"/>
    </row>
    <row r="413" spans="19:19" x14ac:dyDescent="0.25">
      <c r="S413" s="36"/>
    </row>
    <row r="414" spans="19:19" x14ac:dyDescent="0.25">
      <c r="S414" s="36"/>
    </row>
    <row r="415" spans="19:19" x14ac:dyDescent="0.25">
      <c r="S415" s="36"/>
    </row>
    <row r="416" spans="19:19" x14ac:dyDescent="0.25">
      <c r="S416" s="36"/>
    </row>
    <row r="417" spans="19:19" x14ac:dyDescent="0.25">
      <c r="S417" s="36"/>
    </row>
    <row r="418" spans="19:19" x14ac:dyDescent="0.25">
      <c r="S418" s="36"/>
    </row>
    <row r="419" spans="19:19" x14ac:dyDescent="0.25">
      <c r="S419" s="36"/>
    </row>
    <row r="420" spans="19:19" x14ac:dyDescent="0.25">
      <c r="S420" s="36"/>
    </row>
    <row r="421" spans="19:19" x14ac:dyDescent="0.25">
      <c r="S421" s="36"/>
    </row>
    <row r="422" spans="19:19" x14ac:dyDescent="0.25">
      <c r="S422" s="36"/>
    </row>
    <row r="423" spans="19:19" x14ac:dyDescent="0.25">
      <c r="S423" s="36"/>
    </row>
    <row r="424" spans="19:19" x14ac:dyDescent="0.25">
      <c r="S424" s="36"/>
    </row>
    <row r="425" spans="19:19" x14ac:dyDescent="0.25">
      <c r="S425" s="36"/>
    </row>
    <row r="426" spans="19:19" x14ac:dyDescent="0.25">
      <c r="S426" s="36"/>
    </row>
    <row r="427" spans="19:19" x14ac:dyDescent="0.25">
      <c r="S427" s="36"/>
    </row>
    <row r="428" spans="19:19" x14ac:dyDescent="0.25">
      <c r="S428" s="36"/>
    </row>
    <row r="429" spans="19:19" x14ac:dyDescent="0.25">
      <c r="S429" s="36"/>
    </row>
    <row r="430" spans="19:19" x14ac:dyDescent="0.25">
      <c r="S430" s="36"/>
    </row>
    <row r="431" spans="19:19" x14ac:dyDescent="0.25">
      <c r="S431" s="36"/>
    </row>
    <row r="432" spans="19:19" x14ac:dyDescent="0.25">
      <c r="S432" s="36"/>
    </row>
    <row r="433" spans="19:19" x14ac:dyDescent="0.25">
      <c r="S433" s="36"/>
    </row>
    <row r="434" spans="19:19" x14ac:dyDescent="0.25">
      <c r="S434" s="36"/>
    </row>
    <row r="435" spans="19:19" x14ac:dyDescent="0.25">
      <c r="S435" s="36"/>
    </row>
    <row r="436" spans="19:19" x14ac:dyDescent="0.25">
      <c r="S436" s="36"/>
    </row>
    <row r="437" spans="19:19" x14ac:dyDescent="0.25">
      <c r="S437" s="36"/>
    </row>
    <row r="438" spans="19:19" x14ac:dyDescent="0.25">
      <c r="S438" s="36"/>
    </row>
    <row r="439" spans="19:19" x14ac:dyDescent="0.25">
      <c r="S439" s="36"/>
    </row>
    <row r="440" spans="19:19" x14ac:dyDescent="0.25">
      <c r="S440" s="36"/>
    </row>
    <row r="441" spans="19:19" x14ac:dyDescent="0.25">
      <c r="S441" s="36"/>
    </row>
    <row r="442" spans="19:19" x14ac:dyDescent="0.25">
      <c r="S442" s="36"/>
    </row>
    <row r="443" spans="19:19" x14ac:dyDescent="0.25">
      <c r="S443" s="36"/>
    </row>
    <row r="444" spans="19:19" x14ac:dyDescent="0.25">
      <c r="S444" s="36"/>
    </row>
    <row r="445" spans="19:19" x14ac:dyDescent="0.25">
      <c r="S445" s="36"/>
    </row>
    <row r="446" spans="19:19" x14ac:dyDescent="0.25">
      <c r="S446" s="36"/>
    </row>
    <row r="447" spans="19:19" x14ac:dyDescent="0.25">
      <c r="S447" s="36"/>
    </row>
    <row r="448" spans="19:19" x14ac:dyDescent="0.25">
      <c r="S448" s="36"/>
    </row>
    <row r="449" spans="19:19" x14ac:dyDescent="0.25">
      <c r="S449" s="36"/>
    </row>
    <row r="450" spans="19:19" x14ac:dyDescent="0.25">
      <c r="S450" s="36"/>
    </row>
    <row r="451" spans="19:19" x14ac:dyDescent="0.25">
      <c r="S451" s="36"/>
    </row>
    <row r="452" spans="19:19" x14ac:dyDescent="0.25">
      <c r="S452" s="36"/>
    </row>
    <row r="453" spans="19:19" x14ac:dyDescent="0.25">
      <c r="S453" s="36"/>
    </row>
    <row r="454" spans="19:19" x14ac:dyDescent="0.25">
      <c r="S454" s="36"/>
    </row>
    <row r="455" spans="19:19" x14ac:dyDescent="0.25">
      <c r="S455" s="36"/>
    </row>
    <row r="456" spans="19:19" x14ac:dyDescent="0.25">
      <c r="S456" s="36"/>
    </row>
    <row r="457" spans="19:19" x14ac:dyDescent="0.25">
      <c r="S457" s="36"/>
    </row>
    <row r="458" spans="19:19" x14ac:dyDescent="0.25">
      <c r="S458" s="36"/>
    </row>
    <row r="459" spans="19:19" x14ac:dyDescent="0.25">
      <c r="S459" s="36"/>
    </row>
    <row r="460" spans="19:19" x14ac:dyDescent="0.25">
      <c r="S460" s="36"/>
    </row>
    <row r="461" spans="19:19" x14ac:dyDescent="0.25">
      <c r="S461" s="36"/>
    </row>
    <row r="462" spans="19:19" x14ac:dyDescent="0.25">
      <c r="S462" s="36"/>
    </row>
    <row r="463" spans="19:19" x14ac:dyDescent="0.25">
      <c r="S463" s="36"/>
    </row>
    <row r="464" spans="19:19" x14ac:dyDescent="0.25">
      <c r="S464" s="36"/>
    </row>
    <row r="465" spans="19:19" x14ac:dyDescent="0.25">
      <c r="S465" s="36"/>
    </row>
    <row r="466" spans="19:19" x14ac:dyDescent="0.25">
      <c r="S466" s="36"/>
    </row>
    <row r="467" spans="19:19" x14ac:dyDescent="0.25">
      <c r="S467" s="36"/>
    </row>
    <row r="468" spans="19:19" x14ac:dyDescent="0.25">
      <c r="S468" s="36"/>
    </row>
    <row r="469" spans="19:19" x14ac:dyDescent="0.25">
      <c r="S469" s="36"/>
    </row>
    <row r="470" spans="19:19" x14ac:dyDescent="0.25">
      <c r="S470" s="36"/>
    </row>
    <row r="471" spans="19:19" x14ac:dyDescent="0.25">
      <c r="S471" s="36"/>
    </row>
    <row r="472" spans="19:19" x14ac:dyDescent="0.25">
      <c r="S472" s="36"/>
    </row>
    <row r="473" spans="19:19" x14ac:dyDescent="0.25">
      <c r="S473" s="36"/>
    </row>
    <row r="474" spans="19:19" x14ac:dyDescent="0.25">
      <c r="S474" s="36"/>
    </row>
    <row r="475" spans="19:19" x14ac:dyDescent="0.25">
      <c r="S475" s="36"/>
    </row>
    <row r="476" spans="19:19" x14ac:dyDescent="0.25">
      <c r="S476" s="36"/>
    </row>
    <row r="477" spans="19:19" x14ac:dyDescent="0.25">
      <c r="S477" s="36"/>
    </row>
    <row r="478" spans="19:19" x14ac:dyDescent="0.25">
      <c r="S478" s="36"/>
    </row>
    <row r="479" spans="19:19" x14ac:dyDescent="0.25">
      <c r="S479" s="36"/>
    </row>
    <row r="480" spans="19:19" x14ac:dyDescent="0.25">
      <c r="S480" s="36"/>
    </row>
    <row r="481" spans="19:19" x14ac:dyDescent="0.25">
      <c r="S481" s="36"/>
    </row>
    <row r="482" spans="19:19" x14ac:dyDescent="0.25">
      <c r="S482" s="36"/>
    </row>
    <row r="483" spans="19:19" x14ac:dyDescent="0.25">
      <c r="S483" s="36"/>
    </row>
    <row r="484" spans="19:19" x14ac:dyDescent="0.25">
      <c r="S484" s="36"/>
    </row>
    <row r="485" spans="19:19" x14ac:dyDescent="0.25">
      <c r="S485" s="36"/>
    </row>
    <row r="486" spans="19:19" x14ac:dyDescent="0.25">
      <c r="S486" s="36"/>
    </row>
    <row r="487" spans="19:19" x14ac:dyDescent="0.25">
      <c r="S487" s="36"/>
    </row>
    <row r="488" spans="19:19" x14ac:dyDescent="0.25">
      <c r="S488" s="36"/>
    </row>
    <row r="489" spans="19:19" x14ac:dyDescent="0.25">
      <c r="S489" s="36"/>
    </row>
    <row r="490" spans="19:19" x14ac:dyDescent="0.25">
      <c r="S490" s="36"/>
    </row>
    <row r="491" spans="19:19" x14ac:dyDescent="0.25">
      <c r="S491" s="36"/>
    </row>
    <row r="492" spans="19:19" x14ac:dyDescent="0.25">
      <c r="S492" s="36"/>
    </row>
    <row r="493" spans="19:19" x14ac:dyDescent="0.25">
      <c r="S493" s="36"/>
    </row>
    <row r="494" spans="19:19" x14ac:dyDescent="0.25">
      <c r="S494" s="36"/>
    </row>
    <row r="495" spans="19:19" x14ac:dyDescent="0.25">
      <c r="S495" s="36"/>
    </row>
    <row r="496" spans="19:19" x14ac:dyDescent="0.25">
      <c r="S496" s="36"/>
    </row>
    <row r="497" spans="19:19" x14ac:dyDescent="0.25">
      <c r="S497" s="36"/>
    </row>
    <row r="498" spans="19:19" x14ac:dyDescent="0.25">
      <c r="S498" s="36"/>
    </row>
    <row r="499" spans="19:19" x14ac:dyDescent="0.25">
      <c r="S499" s="36"/>
    </row>
    <row r="500" spans="19:19" x14ac:dyDescent="0.25">
      <c r="S500" s="36"/>
    </row>
    <row r="501" spans="19:19" x14ac:dyDescent="0.25">
      <c r="S501" s="36"/>
    </row>
    <row r="502" spans="19:19" x14ac:dyDescent="0.25">
      <c r="S502" s="36"/>
    </row>
    <row r="503" spans="19:19" x14ac:dyDescent="0.25">
      <c r="S503" s="36"/>
    </row>
    <row r="504" spans="19:19" x14ac:dyDescent="0.25">
      <c r="S504" s="36"/>
    </row>
    <row r="505" spans="19:19" x14ac:dyDescent="0.25">
      <c r="S505" s="36"/>
    </row>
    <row r="506" spans="19:19" x14ac:dyDescent="0.25">
      <c r="S506" s="36"/>
    </row>
    <row r="507" spans="19:19" x14ac:dyDescent="0.25">
      <c r="S507" s="36"/>
    </row>
    <row r="508" spans="19:19" x14ac:dyDescent="0.25">
      <c r="S508" s="36"/>
    </row>
    <row r="509" spans="19:19" x14ac:dyDescent="0.25">
      <c r="S509" s="36"/>
    </row>
    <row r="510" spans="19:19" x14ac:dyDescent="0.25">
      <c r="S510" s="36"/>
    </row>
    <row r="511" spans="19:19" x14ac:dyDescent="0.25">
      <c r="S511" s="36"/>
    </row>
    <row r="512" spans="19:19" x14ac:dyDescent="0.25">
      <c r="S512" s="36"/>
    </row>
    <row r="513" spans="19:19" x14ac:dyDescent="0.25">
      <c r="S513" s="36"/>
    </row>
    <row r="514" spans="19:19" x14ac:dyDescent="0.25">
      <c r="S514" s="36"/>
    </row>
    <row r="515" spans="19:19" x14ac:dyDescent="0.25">
      <c r="S515" s="36"/>
    </row>
    <row r="516" spans="19:19" x14ac:dyDescent="0.25">
      <c r="S516" s="36"/>
    </row>
    <row r="517" spans="19:19" x14ac:dyDescent="0.25">
      <c r="S517" s="36"/>
    </row>
    <row r="518" spans="19:19" x14ac:dyDescent="0.25">
      <c r="S518" s="36"/>
    </row>
    <row r="519" spans="19:19" x14ac:dyDescent="0.25">
      <c r="S519" s="36"/>
    </row>
    <row r="520" spans="19:19" x14ac:dyDescent="0.25">
      <c r="S520" s="36"/>
    </row>
    <row r="521" spans="19:19" x14ac:dyDescent="0.25">
      <c r="S521" s="36"/>
    </row>
    <row r="522" spans="19:19" x14ac:dyDescent="0.25">
      <c r="S522" s="36"/>
    </row>
    <row r="523" spans="19:19" x14ac:dyDescent="0.25">
      <c r="S523" s="36"/>
    </row>
    <row r="524" spans="19:19" x14ac:dyDescent="0.25">
      <c r="S524" s="36"/>
    </row>
    <row r="525" spans="19:19" x14ac:dyDescent="0.25">
      <c r="S525" s="36"/>
    </row>
    <row r="526" spans="19:19" x14ac:dyDescent="0.25">
      <c r="S526" s="36"/>
    </row>
    <row r="527" spans="19:19" x14ac:dyDescent="0.25">
      <c r="S527" s="36"/>
    </row>
    <row r="528" spans="19:19" x14ac:dyDescent="0.25">
      <c r="S528" s="36"/>
    </row>
    <row r="529" spans="19:19" x14ac:dyDescent="0.25">
      <c r="S529" s="36"/>
    </row>
    <row r="530" spans="19:19" x14ac:dyDescent="0.25">
      <c r="S530" s="36"/>
    </row>
    <row r="531" spans="19:19" x14ac:dyDescent="0.25">
      <c r="S531" s="36"/>
    </row>
    <row r="532" spans="19:19" x14ac:dyDescent="0.25">
      <c r="S532" s="36"/>
    </row>
    <row r="533" spans="19:19" x14ac:dyDescent="0.25">
      <c r="S533" s="36"/>
    </row>
    <row r="534" spans="19:19" x14ac:dyDescent="0.25">
      <c r="S534" s="36"/>
    </row>
    <row r="535" spans="19:19" x14ac:dyDescent="0.25">
      <c r="S535" s="36"/>
    </row>
    <row r="536" spans="19:19" x14ac:dyDescent="0.25">
      <c r="S536" s="36"/>
    </row>
    <row r="537" spans="19:19" x14ac:dyDescent="0.25">
      <c r="S537" s="36"/>
    </row>
    <row r="538" spans="19:19" x14ac:dyDescent="0.25">
      <c r="S538" s="36"/>
    </row>
    <row r="539" spans="19:19" x14ac:dyDescent="0.25">
      <c r="S539" s="36"/>
    </row>
    <row r="540" spans="19:19" x14ac:dyDescent="0.25">
      <c r="S540" s="36"/>
    </row>
    <row r="541" spans="19:19" x14ac:dyDescent="0.25">
      <c r="S541" s="36"/>
    </row>
    <row r="542" spans="19:19" x14ac:dyDescent="0.25">
      <c r="S542" s="36"/>
    </row>
    <row r="543" spans="19:19" x14ac:dyDescent="0.25">
      <c r="S543" s="36"/>
    </row>
    <row r="544" spans="19:19" x14ac:dyDescent="0.25">
      <c r="S544" s="36"/>
    </row>
    <row r="545" spans="19:19" x14ac:dyDescent="0.25">
      <c r="S545" s="36"/>
    </row>
    <row r="546" spans="19:19" x14ac:dyDescent="0.25">
      <c r="S546" s="36"/>
    </row>
    <row r="547" spans="19:19" x14ac:dyDescent="0.25">
      <c r="S547" s="36"/>
    </row>
    <row r="548" spans="19:19" x14ac:dyDescent="0.25">
      <c r="S548" s="36"/>
    </row>
    <row r="549" spans="19:19" x14ac:dyDescent="0.25">
      <c r="S549" s="36"/>
    </row>
    <row r="550" spans="19:19" x14ac:dyDescent="0.25">
      <c r="S550" s="36"/>
    </row>
    <row r="551" spans="19:19" x14ac:dyDescent="0.25">
      <c r="S551" s="36"/>
    </row>
    <row r="552" spans="19:19" x14ac:dyDescent="0.25">
      <c r="S552" s="36"/>
    </row>
    <row r="553" spans="19:19" x14ac:dyDescent="0.25">
      <c r="S553" s="36"/>
    </row>
    <row r="554" spans="19:19" x14ac:dyDescent="0.25">
      <c r="S554" s="36"/>
    </row>
    <row r="555" spans="19:19" x14ac:dyDescent="0.25">
      <c r="S555" s="36"/>
    </row>
    <row r="556" spans="19:19" x14ac:dyDescent="0.25">
      <c r="S556" s="36"/>
    </row>
    <row r="557" spans="19:19" x14ac:dyDescent="0.25">
      <c r="S557" s="36"/>
    </row>
    <row r="558" spans="19:19" x14ac:dyDescent="0.25">
      <c r="S558" s="36"/>
    </row>
    <row r="559" spans="19:19" x14ac:dyDescent="0.25">
      <c r="S559" s="36"/>
    </row>
    <row r="560" spans="19:19" x14ac:dyDescent="0.25">
      <c r="S560" s="36"/>
    </row>
    <row r="561" spans="19:19" x14ac:dyDescent="0.25">
      <c r="S561" s="36"/>
    </row>
    <row r="562" spans="19:19" x14ac:dyDescent="0.25">
      <c r="S562" s="36"/>
    </row>
    <row r="563" spans="19:19" x14ac:dyDescent="0.25">
      <c r="S563" s="36"/>
    </row>
    <row r="564" spans="19:19" x14ac:dyDescent="0.25">
      <c r="S564" s="36"/>
    </row>
    <row r="565" spans="19:19" x14ac:dyDescent="0.25">
      <c r="S565" s="36"/>
    </row>
    <row r="566" spans="19:19" x14ac:dyDescent="0.25">
      <c r="S566" s="36"/>
    </row>
    <row r="567" spans="19:19" x14ac:dyDescent="0.25">
      <c r="S567" s="36"/>
    </row>
    <row r="568" spans="19:19" x14ac:dyDescent="0.25">
      <c r="S568" s="36"/>
    </row>
    <row r="569" spans="19:19" x14ac:dyDescent="0.25">
      <c r="S569" s="36"/>
    </row>
    <row r="570" spans="19:19" x14ac:dyDescent="0.25">
      <c r="S570" s="36"/>
    </row>
    <row r="571" spans="19:19" x14ac:dyDescent="0.25">
      <c r="S571" s="36"/>
    </row>
    <row r="572" spans="19:19" x14ac:dyDescent="0.25">
      <c r="S572" s="36"/>
    </row>
  </sheetData>
  <sheetProtection algorithmName="SHA-512" hashValue="ylujcG+bpo2H6Xoz86w7EHW9a7vUIw9Eg7wbutnaDgHw18gibXfsGQY/Z1WwdqqfqOq04b6jLEm1jo4Q6Y6lsw==" saltValue="V3Q927/4ZNu43scxS+v8jg==" spinCount="100000" sheet="1" objects="1" scenarios="1"/>
  <dataConsolidate/>
  <mergeCells count="19">
    <mergeCell ref="T1:U2"/>
    <mergeCell ref="L1:M2"/>
    <mergeCell ref="B4:C4"/>
    <mergeCell ref="F7:I7"/>
    <mergeCell ref="B6:C6"/>
    <mergeCell ref="AU3:AU4"/>
    <mergeCell ref="E4:E5"/>
    <mergeCell ref="T3:T4"/>
    <mergeCell ref="U3:U4"/>
    <mergeCell ref="AR3:AS3"/>
    <mergeCell ref="AN3:AP3"/>
    <mergeCell ref="V3:Y3"/>
    <mergeCell ref="AA3:AE3"/>
    <mergeCell ref="AK3:AM3"/>
    <mergeCell ref="L3:L4"/>
    <mergeCell ref="M3:M4"/>
    <mergeCell ref="F3:H3"/>
    <mergeCell ref="F4:H4"/>
    <mergeCell ref="F5:H5"/>
  </mergeCells>
  <conditionalFormatting sqref="AR7:AS46 AA7:AE46 AI7:AP46">
    <cfRule type="expression" dxfId="16" priority="18">
      <formula>MOD(ROW(),2)=0</formula>
    </cfRule>
  </conditionalFormatting>
  <conditionalFormatting sqref="G10">
    <cfRule type="expression" dxfId="15" priority="8">
      <formula>IF($C$20="Egyéb",1,0)</formula>
    </cfRule>
    <cfRule type="expression" dxfId="14" priority="154">
      <formula>IF($I$4&gt;$G$10,1,0)</formula>
    </cfRule>
  </conditionalFormatting>
  <conditionalFormatting sqref="H10">
    <cfRule type="expression" dxfId="13" priority="7">
      <formula>IF($C$20="Mezőgazdasági",1,0)</formula>
    </cfRule>
  </conditionalFormatting>
  <conditionalFormatting sqref="I10">
    <cfRule type="expression" dxfId="12" priority="6">
      <formula>IF($C$20="Halászati",1,0)</formula>
    </cfRule>
  </conditionalFormatting>
  <conditionalFormatting sqref="B25:C25">
    <cfRule type="expression" dxfId="11" priority="15">
      <formula>IF($C$25&gt;DATE(2021,6,30),1,0)</formula>
    </cfRule>
  </conditionalFormatting>
  <conditionalFormatting sqref="B19:C19">
    <cfRule type="expression" dxfId="10" priority="10">
      <formula>IF($C$19="Nem KKV",1,0)</formula>
    </cfRule>
  </conditionalFormatting>
  <conditionalFormatting sqref="B22:C22">
    <cfRule type="expression" dxfId="9" priority="9">
      <formula>IF(OR(AND($C$21="HUF",$C$22&gt;3500000000),AND($C$21="EUR",$C$22&gt;10000000)),1,0)</formula>
    </cfRule>
  </conditionalFormatting>
  <conditionalFormatting sqref="T3:U46">
    <cfRule type="expression" dxfId="8" priority="218">
      <formula>$C$29="Egyenlő tőke"</formula>
    </cfRule>
  </conditionalFormatting>
  <conditionalFormatting sqref="L1">
    <cfRule type="expression" dxfId="7" priority="219">
      <formula>IF(AND(COUNT(M7:M46)&gt;0,SUM(M7:M46)&lt;&gt;$C$22),1,0)</formula>
    </cfRule>
  </conditionalFormatting>
  <conditionalFormatting sqref="B27:C27">
    <cfRule type="expression" dxfId="6" priority="5">
      <formula>IF($C$27&gt;EDATE($C$25,120),1,0)</formula>
    </cfRule>
  </conditionalFormatting>
  <conditionalFormatting sqref="T1">
    <cfRule type="expression" dxfId="5" priority="4">
      <formula>IF(AND(COUNT(U7:U46)&gt;0,SUM(U7:U46)&lt;&gt;$C$22),1,0)</formula>
    </cfRule>
  </conditionalFormatting>
  <conditionalFormatting sqref="L3:M46">
    <cfRule type="expression" dxfId="4" priority="3">
      <formula>IF($C$18="Lízing",1,0)</formula>
    </cfRule>
  </conditionalFormatting>
  <conditionalFormatting sqref="B35:C37">
    <cfRule type="expression" dxfId="3" priority="2">
      <formula>IF($C$18="Lízing",1,0)</formula>
    </cfRule>
  </conditionalFormatting>
  <conditionalFormatting sqref="F4:I4">
    <cfRule type="expression" dxfId="2" priority="1">
      <formula>IF($I$4=0,1,0)</formula>
    </cfRule>
  </conditionalFormatting>
  <dataValidations count="10">
    <dataValidation type="list" allowBlank="1" showInputMessage="1" showErrorMessage="1" sqref="C29">
      <formula1>IF($C$18="Lízing",Törlesztés_lízing,Törlesztés)</formula1>
    </dataValidation>
    <dataValidation type="list" allowBlank="1" showInputMessage="1" showErrorMessage="1" sqref="C30">
      <formula1>Törlesztésgyakoriság</formula1>
    </dataValidation>
    <dataValidation showInputMessage="1" showErrorMessage="1" sqref="C28"/>
    <dataValidation type="list" allowBlank="1" showInputMessage="1" showErrorMessage="1" sqref="D7:D8">
      <formula1>#REF!</formula1>
    </dataValidation>
    <dataValidation type="list" allowBlank="1" showInputMessage="1" showErrorMessage="1" sqref="C20">
      <formula1>"Mezőgazdasági,Halászati,Egyéb"</formula1>
    </dataValidation>
    <dataValidation type="list" allowBlank="1" showInputMessage="1" showErrorMessage="1" sqref="C21">
      <formula1>"HUF,EUR"</formula1>
    </dataValidation>
    <dataValidation type="date" allowBlank="1" showInputMessage="1" showErrorMessage="1" sqref="L7:L46">
      <formula1>$C$25</formula1>
      <formula2>$C$26</formula2>
    </dataValidation>
    <dataValidation type="list" allowBlank="1" showInputMessage="1" showErrorMessage="1" sqref="C13">
      <formula1>"Magas,Általános,Alacsony"</formula1>
    </dataValidation>
    <dataValidation type="list" allowBlank="1" showInputMessage="1" showErrorMessage="1" sqref="C12">
      <formula1>"Kiváló,Jó,Kielégítő,Gyenge,Rossz"</formula1>
    </dataValidation>
    <dataValidation type="list" allowBlank="1" showInputMessage="1" showErrorMessage="1" sqref="C10">
      <formula1>"Van,Nincs"</formula1>
    </dataValidation>
  </dataValidations>
  <hyperlinks>
    <hyperlink ref="B9" r:id="rId1" display="Referencia ráta"/>
  </hyperlinks>
  <pageMargins left="0.7" right="0.7" top="0.75" bottom="0.75" header="0.3" footer="0.3"/>
  <pageSetup paperSize="9" orientation="portrait" r:id="rId2"/>
  <ignoredErrors>
    <ignoredError sqref="AN5" 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Adatok!$U$3:$U$4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5"/>
  <sheetViews>
    <sheetView workbookViewId="0">
      <selection activeCell="L3" sqref="L3"/>
    </sheetView>
  </sheetViews>
  <sheetFormatPr defaultRowHeight="15" x14ac:dyDescent="0.25"/>
  <cols>
    <col min="1" max="1" width="25.28515625" customWidth="1"/>
    <col min="2" max="2" width="17.28515625" customWidth="1"/>
    <col min="3" max="3" width="14.42578125" customWidth="1"/>
    <col min="4" max="4" width="16.140625" customWidth="1"/>
    <col min="5" max="5" width="16.140625" style="34" customWidth="1"/>
    <col min="6" max="6" width="18" customWidth="1"/>
    <col min="8" max="8" width="10.5703125" bestFit="1" customWidth="1"/>
  </cols>
  <sheetData>
    <row r="1" spans="1:12" x14ac:dyDescent="0.25">
      <c r="A1" s="139" t="s">
        <v>238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2" x14ac:dyDescent="0.25">
      <c r="E2" s="34" t="s">
        <v>289</v>
      </c>
      <c r="F2" t="s">
        <v>240</v>
      </c>
    </row>
    <row r="3" spans="1:12" x14ac:dyDescent="0.25">
      <c r="A3" s="156" t="s">
        <v>239</v>
      </c>
      <c r="B3" s="156"/>
      <c r="E3" s="92"/>
      <c r="F3" s="6"/>
    </row>
    <row r="4" spans="1:12" x14ac:dyDescent="0.25">
      <c r="A4" s="48">
        <f>PRODUCT(C4:W4)</f>
        <v>0</v>
      </c>
      <c r="B4" t="s">
        <v>286</v>
      </c>
      <c r="E4" s="50"/>
      <c r="F4" s="50"/>
    </row>
    <row r="5" spans="1:12" x14ac:dyDescent="0.25">
      <c r="A5" s="48">
        <f>PRODUCT(E5:F5)</f>
        <v>0</v>
      </c>
      <c r="B5" t="s">
        <v>287</v>
      </c>
      <c r="E5" s="34">
        <f>IF(Tamogatastartalom!C20="Mezőgazdasági",1,0)</f>
        <v>0</v>
      </c>
      <c r="F5" s="50"/>
    </row>
    <row r="6" spans="1:12" x14ac:dyDescent="0.25">
      <c r="A6" s="48">
        <f>PRODUCT(E6:F6)</f>
        <v>0</v>
      </c>
      <c r="B6" t="s">
        <v>288</v>
      </c>
      <c r="E6" s="50"/>
      <c r="F6" s="34">
        <f>IF(Tamogatastartalom!C20="Halászati",1,0)</f>
        <v>0</v>
      </c>
    </row>
    <row r="7" spans="1:12" x14ac:dyDescent="0.25">
      <c r="A7" s="139" t="s">
        <v>122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2" x14ac:dyDescent="0.25">
      <c r="A8" s="157" t="s">
        <v>241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2" ht="15" customHeight="1" x14ac:dyDescent="0.25">
      <c r="A9" s="54" t="s">
        <v>243</v>
      </c>
      <c r="B9" s="91">
        <v>0</v>
      </c>
      <c r="C9" s="55"/>
    </row>
    <row r="10" spans="1:12" x14ac:dyDescent="0.25">
      <c r="A10" s="56" t="s">
        <v>118</v>
      </c>
      <c r="B10" s="90">
        <v>0</v>
      </c>
      <c r="C10" s="45">
        <v>50000000</v>
      </c>
      <c r="I10" s="63"/>
      <c r="L10" s="63"/>
    </row>
    <row r="11" spans="1:12" x14ac:dyDescent="0.25">
      <c r="A11" s="56" t="s">
        <v>119</v>
      </c>
      <c r="B11" s="89">
        <f>0</f>
        <v>0</v>
      </c>
      <c r="C11" s="45">
        <v>100000000</v>
      </c>
      <c r="I11" s="63"/>
      <c r="L11" s="63"/>
    </row>
    <row r="12" spans="1:12" s="34" customFormat="1" x14ac:dyDescent="0.25">
      <c r="A12" s="38" t="s">
        <v>120</v>
      </c>
      <c r="B12" t="s">
        <v>121</v>
      </c>
      <c r="C12" s="45"/>
      <c r="I12" s="63"/>
      <c r="L12" s="63"/>
    </row>
    <row r="13" spans="1:12" s="34" customFormat="1" x14ac:dyDescent="0.25">
      <c r="A13" s="38" t="s">
        <v>258</v>
      </c>
      <c r="B13" s="59">
        <v>0.2</v>
      </c>
      <c r="C13" s="45"/>
      <c r="I13" s="63"/>
      <c r="L13" s="63"/>
    </row>
    <row r="14" spans="1:12" s="34" customFormat="1" x14ac:dyDescent="0.25">
      <c r="A14" s="38" t="s">
        <v>256</v>
      </c>
      <c r="B14" s="34">
        <f>IF(B15&gt;0,1,0)</f>
        <v>1</v>
      </c>
      <c r="C14" s="45"/>
    </row>
    <row r="15" spans="1:12" s="34" customFormat="1" x14ac:dyDescent="0.25">
      <c r="A15" s="38" t="s">
        <v>257</v>
      </c>
      <c r="B15" s="59">
        <v>0.35</v>
      </c>
      <c r="C15" s="45"/>
    </row>
    <row r="16" spans="1:12" ht="30" x14ac:dyDescent="0.25">
      <c r="A16" s="54" t="s">
        <v>245</v>
      </c>
      <c r="B16" s="59">
        <v>0.55000000000000004</v>
      </c>
    </row>
    <row r="17" spans="1:10" s="34" customFormat="1" x14ac:dyDescent="0.25">
      <c r="A17" s="54" t="s">
        <v>259</v>
      </c>
      <c r="B17" s="45">
        <f>VLOOKUP(B15,Adatok!D12:E16,2,FALSE)*10^6</f>
        <v>26250000</v>
      </c>
    </row>
    <row r="18" spans="1:10" x14ac:dyDescent="0.25">
      <c r="A18" s="139" t="s">
        <v>248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x14ac:dyDescent="0.25">
      <c r="A19" t="s">
        <v>249</v>
      </c>
      <c r="B19">
        <f>IF(D3="Nagy",0,IF(D3="Mikró/Kis",0.2,0.1))</f>
        <v>0.1</v>
      </c>
    </row>
    <row r="20" spans="1:10" x14ac:dyDescent="0.25">
      <c r="A20" s="139" t="s">
        <v>246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0" x14ac:dyDescent="0.25">
      <c r="A21" t="s">
        <v>247</v>
      </c>
      <c r="B21" s="59">
        <v>0</v>
      </c>
    </row>
    <row r="22" spans="1:10" x14ac:dyDescent="0.25">
      <c r="A22" s="139" t="s">
        <v>250</v>
      </c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x14ac:dyDescent="0.25">
      <c r="A23" t="s">
        <v>244</v>
      </c>
      <c r="B23" s="9">
        <f>Tamogatastartalom!C22</f>
        <v>100000000</v>
      </c>
    </row>
    <row r="24" spans="1:10" ht="30" x14ac:dyDescent="0.25">
      <c r="A24" s="54" t="s">
        <v>251</v>
      </c>
      <c r="B24" s="9">
        <f ca="1">Tamogatastartalom!AS5</f>
        <v>202261.40430535728</v>
      </c>
    </row>
    <row r="25" spans="1:10" ht="30" x14ac:dyDescent="0.25">
      <c r="A25" s="54" t="s">
        <v>252</v>
      </c>
      <c r="B25">
        <f ca="1">B23/B24</f>
        <v>494.40969889158089</v>
      </c>
    </row>
  </sheetData>
  <mergeCells count="7">
    <mergeCell ref="A20:J20"/>
    <mergeCell ref="A18:J18"/>
    <mergeCell ref="A22:J22"/>
    <mergeCell ref="A1:J1"/>
    <mergeCell ref="A3:B3"/>
    <mergeCell ref="A7:J7"/>
    <mergeCell ref="A8:J8"/>
  </mergeCells>
  <conditionalFormatting sqref="F6">
    <cfRule type="cellIs" dxfId="1" priority="8" operator="equal">
      <formula>0</formula>
    </cfRule>
  </conditionalFormatting>
  <conditionalFormatting sqref="E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16"/>
  <sheetViews>
    <sheetView workbookViewId="0">
      <selection activeCell="M6" sqref="M6:M7"/>
    </sheetView>
  </sheetViews>
  <sheetFormatPr defaultRowHeight="15" x14ac:dyDescent="0.25"/>
  <cols>
    <col min="1" max="1" width="19.7109375" bestFit="1" customWidth="1"/>
    <col min="3" max="3" width="11.28515625" customWidth="1"/>
    <col min="6" max="6" width="13.5703125" customWidth="1"/>
    <col min="9" max="11" width="9.140625" style="34"/>
    <col min="13" max="13" width="14.42578125" style="51" bestFit="1" customWidth="1"/>
    <col min="16" max="16" width="19.5703125" bestFit="1" customWidth="1"/>
  </cols>
  <sheetData>
    <row r="1" spans="1:23" x14ac:dyDescent="0.25">
      <c r="A1" s="162" t="s">
        <v>235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58" t="s">
        <v>242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x14ac:dyDescent="0.25">
      <c r="C2" s="1"/>
      <c r="D2" s="157" t="s">
        <v>236</v>
      </c>
      <c r="E2" s="157"/>
      <c r="F2" s="157"/>
      <c r="G2" s="157"/>
      <c r="H2" s="157"/>
      <c r="I2" s="1"/>
      <c r="J2" s="157" t="s">
        <v>262</v>
      </c>
      <c r="K2" s="157"/>
      <c r="L2" s="163"/>
      <c r="M2" s="51" t="s">
        <v>15</v>
      </c>
      <c r="N2" s="34"/>
      <c r="O2" s="34"/>
      <c r="P2" s="48" t="s">
        <v>18</v>
      </c>
      <c r="Q2" s="48"/>
      <c r="S2" t="s">
        <v>32</v>
      </c>
      <c r="T2" s="34"/>
      <c r="U2" t="s">
        <v>32</v>
      </c>
    </row>
    <row r="3" spans="1:23" x14ac:dyDescent="0.25">
      <c r="C3" s="1"/>
      <c r="D3" s="4"/>
      <c r="E3" s="4"/>
      <c r="F3" s="161" t="s">
        <v>7</v>
      </c>
      <c r="G3" s="161"/>
      <c r="H3" s="161"/>
      <c r="I3" s="1"/>
      <c r="J3" s="65"/>
      <c r="K3" s="65"/>
      <c r="L3" s="65"/>
      <c r="M3" s="51" t="s">
        <v>22</v>
      </c>
      <c r="N3" s="34">
        <v>1</v>
      </c>
      <c r="O3" s="34"/>
      <c r="P3" s="34" t="s">
        <v>19</v>
      </c>
      <c r="Q3" s="34">
        <v>12</v>
      </c>
      <c r="S3" t="s">
        <v>30</v>
      </c>
      <c r="T3" s="34"/>
      <c r="U3" t="s">
        <v>30</v>
      </c>
    </row>
    <row r="4" spans="1:23" x14ac:dyDescent="0.25">
      <c r="C4" s="1"/>
      <c r="D4" s="4"/>
      <c r="E4" s="5"/>
      <c r="F4" s="3" t="s">
        <v>0</v>
      </c>
      <c r="G4" s="3" t="s">
        <v>1</v>
      </c>
      <c r="H4" s="3" t="s">
        <v>2</v>
      </c>
      <c r="I4" s="1"/>
      <c r="J4" s="66" t="s">
        <v>263</v>
      </c>
      <c r="K4" s="67">
        <f>refkam-3.5%</f>
        <v>-2.7000000000000003E-2</v>
      </c>
      <c r="M4" s="51" t="s">
        <v>16</v>
      </c>
      <c r="N4" s="34">
        <v>2</v>
      </c>
      <c r="O4" s="34"/>
      <c r="P4" s="34" t="s">
        <v>20</v>
      </c>
      <c r="Q4" s="34">
        <v>4</v>
      </c>
      <c r="S4" t="s">
        <v>254</v>
      </c>
      <c r="T4" s="34"/>
      <c r="U4" t="s">
        <v>284</v>
      </c>
    </row>
    <row r="5" spans="1:23" ht="15.75" customHeight="1" x14ac:dyDescent="0.25">
      <c r="C5" s="1"/>
      <c r="D5" s="160" t="s">
        <v>8</v>
      </c>
      <c r="E5" s="58" t="s">
        <v>255</v>
      </c>
      <c r="F5" s="7">
        <v>60</v>
      </c>
      <c r="G5" s="7">
        <v>75</v>
      </c>
      <c r="H5" s="7">
        <v>100</v>
      </c>
      <c r="I5" s="1"/>
      <c r="J5" s="66" t="s">
        <v>264</v>
      </c>
      <c r="K5" s="68">
        <v>1E-3</v>
      </c>
      <c r="M5" s="51" t="s">
        <v>17</v>
      </c>
      <c r="N5" s="34">
        <v>0</v>
      </c>
      <c r="O5" s="34"/>
      <c r="P5" s="34" t="s">
        <v>21</v>
      </c>
      <c r="Q5" s="34">
        <v>2</v>
      </c>
      <c r="S5" t="s">
        <v>284</v>
      </c>
      <c r="T5" s="34"/>
    </row>
    <row r="6" spans="1:23" x14ac:dyDescent="0.25">
      <c r="A6" s="34"/>
      <c r="B6" s="34"/>
      <c r="C6" s="1"/>
      <c r="D6" s="160"/>
      <c r="E6" s="2" t="s">
        <v>3</v>
      </c>
      <c r="F6" s="7">
        <v>75</v>
      </c>
      <c r="G6" s="7">
        <v>100</v>
      </c>
      <c r="H6" s="7">
        <v>220</v>
      </c>
      <c r="I6" s="1"/>
      <c r="J6" s="66" t="s">
        <v>265</v>
      </c>
      <c r="K6" s="68">
        <f>MAX(K4:K5)</f>
        <v>1E-3</v>
      </c>
      <c r="M6" t="s">
        <v>16</v>
      </c>
      <c r="N6" s="34"/>
      <c r="O6" s="34"/>
      <c r="P6" s="34"/>
      <c r="Q6" s="34"/>
      <c r="T6" s="34"/>
    </row>
    <row r="7" spans="1:23" ht="15" customHeight="1" x14ac:dyDescent="0.25">
      <c r="A7" s="34"/>
      <c r="B7" s="34"/>
      <c r="C7" s="1"/>
      <c r="D7" s="160"/>
      <c r="E7" s="2" t="s">
        <v>4</v>
      </c>
      <c r="F7" s="7">
        <v>100</v>
      </c>
      <c r="G7" s="7">
        <v>220</v>
      </c>
      <c r="H7" s="7">
        <v>400</v>
      </c>
      <c r="I7" s="1"/>
      <c r="J7" s="65" t="s">
        <v>266</v>
      </c>
      <c r="K7" s="68">
        <f>refkammin+4%</f>
        <v>4.1000000000000002E-2</v>
      </c>
      <c r="M7" t="s">
        <v>318</v>
      </c>
      <c r="T7" s="34"/>
    </row>
    <row r="8" spans="1:23" x14ac:dyDescent="0.25">
      <c r="A8" s="34"/>
      <c r="B8" s="34"/>
      <c r="C8" s="1"/>
      <c r="D8" s="160"/>
      <c r="E8" s="2" t="s">
        <v>5</v>
      </c>
      <c r="F8" s="7">
        <v>220</v>
      </c>
      <c r="G8" s="7">
        <v>400</v>
      </c>
      <c r="H8" s="7">
        <v>650</v>
      </c>
      <c r="I8" s="1"/>
      <c r="J8" s="65"/>
      <c r="K8" s="7"/>
      <c r="M8" s="52"/>
      <c r="N8" s="34"/>
      <c r="O8" s="39"/>
      <c r="P8" s="38"/>
    </row>
    <row r="9" spans="1:23" ht="15" customHeight="1" x14ac:dyDescent="0.25">
      <c r="A9" s="34"/>
      <c r="B9" s="34"/>
      <c r="C9" s="1"/>
      <c r="D9" s="160"/>
      <c r="E9" s="2" t="s">
        <v>6</v>
      </c>
      <c r="F9" s="7">
        <v>400</v>
      </c>
      <c r="G9" s="7">
        <v>650</v>
      </c>
      <c r="H9" s="7">
        <v>1000</v>
      </c>
      <c r="I9" s="1"/>
      <c r="J9" s="65"/>
      <c r="K9" s="7"/>
      <c r="M9" s="53"/>
      <c r="N9" s="34"/>
      <c r="O9" s="4"/>
      <c r="P9" s="34"/>
    </row>
    <row r="10" spans="1:23" x14ac:dyDescent="0.25">
      <c r="A10" s="139" t="s">
        <v>237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53"/>
      <c r="N10" s="34"/>
      <c r="O10" s="4"/>
      <c r="P10" s="4"/>
    </row>
    <row r="11" spans="1:23" x14ac:dyDescent="0.25">
      <c r="B11" s="49" t="s">
        <v>24</v>
      </c>
      <c r="D11" s="1" t="s">
        <v>260</v>
      </c>
      <c r="E11" s="1" t="s">
        <v>261</v>
      </c>
      <c r="F11" s="1"/>
      <c r="G11" s="1"/>
      <c r="H11" s="34"/>
      <c r="L11" s="34"/>
      <c r="M11" s="53"/>
      <c r="N11" s="34"/>
      <c r="O11" s="4"/>
      <c r="P11" s="4"/>
    </row>
    <row r="12" spans="1:23" x14ac:dyDescent="0.25">
      <c r="A12" s="49" t="s">
        <v>32</v>
      </c>
      <c r="B12" s="39">
        <v>0</v>
      </c>
      <c r="D12" s="64">
        <v>0.5</v>
      </c>
      <c r="E12" s="63">
        <v>37.5</v>
      </c>
      <c r="H12" s="34"/>
      <c r="L12" s="34"/>
      <c r="M12" s="53"/>
      <c r="N12" s="34"/>
      <c r="O12" s="4"/>
      <c r="P12" s="4"/>
    </row>
    <row r="13" spans="1:23" x14ac:dyDescent="0.25">
      <c r="A13" s="49" t="s">
        <v>29</v>
      </c>
      <c r="B13" s="39">
        <v>0.5</v>
      </c>
      <c r="D13" s="64">
        <v>0.35</v>
      </c>
      <c r="E13" s="63">
        <v>26.25</v>
      </c>
      <c r="H13" s="34"/>
      <c r="L13" s="34"/>
      <c r="M13" s="53"/>
      <c r="N13" s="34"/>
      <c r="O13" s="4"/>
      <c r="P13" s="4"/>
    </row>
    <row r="14" spans="1:23" x14ac:dyDescent="0.25">
      <c r="A14" s="49" t="s">
        <v>28</v>
      </c>
      <c r="B14" s="39">
        <v>0.5</v>
      </c>
      <c r="D14" s="64">
        <v>0.25</v>
      </c>
      <c r="E14" s="63">
        <v>18.75</v>
      </c>
      <c r="M14" s="53"/>
      <c r="N14" s="34"/>
      <c r="O14" s="4"/>
      <c r="P14" s="4"/>
    </row>
    <row r="15" spans="1:23" x14ac:dyDescent="0.25">
      <c r="A15" s="49" t="s">
        <v>27</v>
      </c>
      <c r="B15" s="39">
        <v>0.5</v>
      </c>
      <c r="D15" s="64">
        <v>0.2</v>
      </c>
      <c r="E15" s="63">
        <v>15</v>
      </c>
      <c r="M15" s="53"/>
      <c r="N15" s="34"/>
      <c r="O15" s="4"/>
      <c r="P15" s="4"/>
    </row>
    <row r="16" spans="1:23" x14ac:dyDescent="0.25">
      <c r="A16" s="49" t="s">
        <v>26</v>
      </c>
      <c r="B16" s="39">
        <v>0.5</v>
      </c>
      <c r="D16" s="64">
        <v>0</v>
      </c>
      <c r="E16" s="63">
        <v>0</v>
      </c>
      <c r="M16" s="53"/>
      <c r="N16" s="34"/>
      <c r="O16" s="4"/>
      <c r="P16" s="4"/>
    </row>
    <row r="17" spans="1:21" x14ac:dyDescent="0.25">
      <c r="A17" s="49" t="s">
        <v>25</v>
      </c>
      <c r="B17" s="39">
        <v>0.35</v>
      </c>
      <c r="J17" s="34" t="s">
        <v>267</v>
      </c>
      <c r="M17" s="53"/>
      <c r="N17" s="34"/>
      <c r="O17" s="4"/>
      <c r="P17" s="4"/>
    </row>
    <row r="18" spans="1:21" x14ac:dyDescent="0.25">
      <c r="A18" s="49" t="s">
        <v>115</v>
      </c>
      <c r="B18" s="39">
        <v>0</v>
      </c>
      <c r="M18" s="53"/>
      <c r="N18" s="34"/>
      <c r="O18" s="4"/>
      <c r="P18" s="4"/>
    </row>
    <row r="19" spans="1:21" x14ac:dyDescent="0.25">
      <c r="A19" s="49" t="s">
        <v>23</v>
      </c>
      <c r="B19" s="39">
        <v>0.25</v>
      </c>
      <c r="M19" s="53"/>
      <c r="N19" s="34"/>
      <c r="O19" s="4"/>
      <c r="P19" s="4"/>
    </row>
    <row r="20" spans="1:21" x14ac:dyDescent="0.25">
      <c r="B20" s="49" t="s">
        <v>122</v>
      </c>
      <c r="M20" s="53"/>
      <c r="N20" s="34"/>
      <c r="O20" s="4"/>
      <c r="P20" s="4"/>
    </row>
    <row r="21" spans="1:21" x14ac:dyDescent="0.25">
      <c r="A21" s="1" t="s">
        <v>32</v>
      </c>
      <c r="B21">
        <v>0</v>
      </c>
      <c r="M21" s="53"/>
      <c r="N21" s="34"/>
      <c r="O21" s="4"/>
      <c r="P21" s="4"/>
      <c r="U21" s="34"/>
    </row>
    <row r="22" spans="1:21" x14ac:dyDescent="0.25">
      <c r="A22" s="1" t="s">
        <v>31</v>
      </c>
      <c r="B22">
        <v>0</v>
      </c>
      <c r="M22" s="53"/>
      <c r="N22" s="4"/>
      <c r="O22" s="34"/>
      <c r="P22" s="4"/>
      <c r="U22" s="34"/>
    </row>
    <row r="23" spans="1:21" x14ac:dyDescent="0.25">
      <c r="A23" s="1" t="s">
        <v>33</v>
      </c>
      <c r="B23">
        <v>0.35</v>
      </c>
      <c r="M23" s="53"/>
      <c r="N23" s="4"/>
      <c r="O23" s="34"/>
      <c r="P23" s="4"/>
      <c r="U23" s="34"/>
    </row>
    <row r="24" spans="1:21" x14ac:dyDescent="0.25">
      <c r="A24" s="1" t="s">
        <v>128</v>
      </c>
      <c r="B24">
        <v>0</v>
      </c>
      <c r="M24" s="53"/>
      <c r="N24" s="4"/>
      <c r="O24" s="34"/>
      <c r="P24" s="4"/>
      <c r="U24" s="34"/>
    </row>
    <row r="25" spans="1:21" x14ac:dyDescent="0.25">
      <c r="A25" s="1" t="s">
        <v>129</v>
      </c>
      <c r="B25">
        <v>0</v>
      </c>
      <c r="M25" s="53"/>
      <c r="N25" s="4"/>
      <c r="O25" s="34"/>
      <c r="P25" s="4"/>
    </row>
    <row r="26" spans="1:21" x14ac:dyDescent="0.25">
      <c r="A26" s="1" t="s">
        <v>39</v>
      </c>
      <c r="B26">
        <v>0.35</v>
      </c>
      <c r="M26" s="53"/>
      <c r="N26" s="4"/>
      <c r="O26" s="34"/>
      <c r="P26" s="4"/>
    </row>
    <row r="27" spans="1:21" x14ac:dyDescent="0.25">
      <c r="A27" s="1" t="s">
        <v>130</v>
      </c>
      <c r="B27">
        <v>0</v>
      </c>
      <c r="M27" s="53"/>
      <c r="N27" s="4"/>
      <c r="O27" s="34"/>
      <c r="P27" s="4"/>
    </row>
    <row r="28" spans="1:21" x14ac:dyDescent="0.25">
      <c r="A28" s="1" t="s">
        <v>108</v>
      </c>
      <c r="B28">
        <v>0.35</v>
      </c>
      <c r="M28" s="53"/>
      <c r="N28" s="4"/>
      <c r="O28" s="34"/>
      <c r="P28" s="4"/>
    </row>
    <row r="29" spans="1:21" x14ac:dyDescent="0.25">
      <c r="A29" s="1" t="s">
        <v>109</v>
      </c>
      <c r="B29">
        <v>0.35</v>
      </c>
      <c r="M29" s="53"/>
      <c r="N29" s="4"/>
      <c r="O29" s="34"/>
      <c r="P29" s="4"/>
    </row>
    <row r="30" spans="1:21" x14ac:dyDescent="0.25">
      <c r="A30" s="1" t="s">
        <v>110</v>
      </c>
      <c r="B30">
        <v>0.35</v>
      </c>
      <c r="M30" s="53"/>
      <c r="N30" s="4"/>
      <c r="O30" s="34"/>
      <c r="P30" s="4"/>
    </row>
    <row r="31" spans="1:21" x14ac:dyDescent="0.25">
      <c r="A31" s="1" t="s">
        <v>131</v>
      </c>
      <c r="B31">
        <v>0</v>
      </c>
      <c r="M31" s="53"/>
      <c r="N31" s="40"/>
      <c r="O31" s="34"/>
      <c r="P31" s="4"/>
    </row>
    <row r="32" spans="1:21" x14ac:dyDescent="0.25">
      <c r="A32" s="1" t="s">
        <v>40</v>
      </c>
      <c r="B32">
        <v>0.35</v>
      </c>
      <c r="M32" s="53"/>
      <c r="N32" s="40"/>
      <c r="O32" s="34"/>
      <c r="P32" s="4"/>
    </row>
    <row r="33" spans="1:16" x14ac:dyDescent="0.25">
      <c r="A33" s="1" t="s">
        <v>132</v>
      </c>
      <c r="B33">
        <v>0</v>
      </c>
      <c r="M33" s="53"/>
      <c r="N33" s="40"/>
      <c r="O33" s="34"/>
      <c r="P33" s="4"/>
    </row>
    <row r="34" spans="1:16" x14ac:dyDescent="0.25">
      <c r="A34" s="1" t="s">
        <v>133</v>
      </c>
      <c r="B34">
        <v>0</v>
      </c>
      <c r="M34" s="53"/>
      <c r="N34" s="40"/>
      <c r="O34" s="34"/>
      <c r="P34" s="4"/>
    </row>
    <row r="35" spans="1:16" x14ac:dyDescent="0.25">
      <c r="A35" s="1" t="s">
        <v>134</v>
      </c>
      <c r="B35">
        <v>0</v>
      </c>
      <c r="M35" s="53"/>
      <c r="N35" s="40"/>
      <c r="O35" s="34"/>
      <c r="P35" s="4"/>
    </row>
    <row r="36" spans="1:16" x14ac:dyDescent="0.25">
      <c r="A36" s="1" t="s">
        <v>135</v>
      </c>
      <c r="B36">
        <v>0</v>
      </c>
      <c r="M36" s="53"/>
      <c r="N36" s="40"/>
      <c r="O36" s="34"/>
      <c r="P36" s="4"/>
    </row>
    <row r="37" spans="1:16" x14ac:dyDescent="0.25">
      <c r="A37" s="1" t="s">
        <v>136</v>
      </c>
      <c r="B37">
        <v>0</v>
      </c>
      <c r="M37" s="53"/>
      <c r="N37" s="40"/>
      <c r="O37" s="34"/>
      <c r="P37" s="4"/>
    </row>
    <row r="38" spans="1:16" x14ac:dyDescent="0.25">
      <c r="A38" s="1" t="s">
        <v>31</v>
      </c>
      <c r="B38">
        <v>0</v>
      </c>
      <c r="M38" s="53"/>
      <c r="N38" s="40"/>
      <c r="O38" s="34"/>
      <c r="P38" s="4"/>
    </row>
    <row r="39" spans="1:16" x14ac:dyDescent="0.25">
      <c r="A39" s="1" t="s">
        <v>137</v>
      </c>
      <c r="B39">
        <v>0</v>
      </c>
      <c r="M39" s="53"/>
      <c r="N39" s="40"/>
      <c r="O39" s="34"/>
      <c r="P39" s="4"/>
    </row>
    <row r="40" spans="1:16" x14ac:dyDescent="0.25">
      <c r="A40" s="1" t="s">
        <v>285</v>
      </c>
      <c r="B40">
        <v>0.35</v>
      </c>
      <c r="M40" s="53"/>
      <c r="N40" s="40"/>
      <c r="O40" s="34"/>
      <c r="P40" s="4"/>
    </row>
    <row r="41" spans="1:16" x14ac:dyDescent="0.25">
      <c r="A41" s="1" t="s">
        <v>138</v>
      </c>
      <c r="B41">
        <v>0</v>
      </c>
      <c r="M41" s="53"/>
      <c r="N41" s="40"/>
      <c r="O41" s="34"/>
      <c r="P41" s="4"/>
    </row>
    <row r="42" spans="1:16" x14ac:dyDescent="0.25">
      <c r="A42" s="1" t="s">
        <v>41</v>
      </c>
      <c r="B42">
        <v>0.35</v>
      </c>
      <c r="M42" s="53"/>
      <c r="N42" s="40"/>
      <c r="O42" s="34"/>
      <c r="P42" s="4"/>
    </row>
    <row r="43" spans="1:16" x14ac:dyDescent="0.25">
      <c r="A43" s="1" t="s">
        <v>139</v>
      </c>
      <c r="B43">
        <v>0</v>
      </c>
      <c r="M43" s="53"/>
      <c r="N43" s="40"/>
      <c r="O43" s="34"/>
      <c r="P43" s="4"/>
    </row>
    <row r="44" spans="1:16" x14ac:dyDescent="0.25">
      <c r="A44" s="1" t="s">
        <v>140</v>
      </c>
      <c r="B44">
        <v>0</v>
      </c>
      <c r="M44" s="53"/>
      <c r="N44" s="40"/>
      <c r="O44" s="34"/>
      <c r="P44" s="4"/>
    </row>
    <row r="45" spans="1:16" x14ac:dyDescent="0.25">
      <c r="A45" s="1" t="s">
        <v>141</v>
      </c>
      <c r="B45">
        <v>0</v>
      </c>
      <c r="M45" s="53"/>
      <c r="N45" s="40"/>
      <c r="O45" s="34"/>
      <c r="P45" s="4"/>
    </row>
    <row r="46" spans="1:16" x14ac:dyDescent="0.25">
      <c r="A46" s="1" t="s">
        <v>142</v>
      </c>
      <c r="B46">
        <v>0</v>
      </c>
    </row>
    <row r="47" spans="1:16" x14ac:dyDescent="0.25">
      <c r="A47" s="1" t="s">
        <v>143</v>
      </c>
      <c r="B47">
        <v>0</v>
      </c>
    </row>
    <row r="48" spans="1:16" x14ac:dyDescent="0.25">
      <c r="A48" s="1" t="s">
        <v>144</v>
      </c>
      <c r="B48">
        <v>0</v>
      </c>
    </row>
    <row r="49" spans="1:2" x14ac:dyDescent="0.25">
      <c r="A49" s="1" t="s">
        <v>42</v>
      </c>
      <c r="B49">
        <v>0.35</v>
      </c>
    </row>
    <row r="50" spans="1:2" x14ac:dyDescent="0.25">
      <c r="A50" s="1" t="s">
        <v>145</v>
      </c>
      <c r="B50">
        <v>0</v>
      </c>
    </row>
    <row r="51" spans="1:2" x14ac:dyDescent="0.25">
      <c r="A51" s="1" t="s">
        <v>146</v>
      </c>
      <c r="B51">
        <v>0</v>
      </c>
    </row>
    <row r="52" spans="1:2" x14ac:dyDescent="0.25">
      <c r="A52" s="1" t="s">
        <v>147</v>
      </c>
      <c r="B52">
        <v>0</v>
      </c>
    </row>
    <row r="53" spans="1:2" x14ac:dyDescent="0.25">
      <c r="A53" s="1" t="s">
        <v>148</v>
      </c>
      <c r="B53">
        <v>0</v>
      </c>
    </row>
    <row r="54" spans="1:2" x14ac:dyDescent="0.25">
      <c r="A54" s="1" t="s">
        <v>43</v>
      </c>
      <c r="B54">
        <v>0.35</v>
      </c>
    </row>
    <row r="55" spans="1:2" x14ac:dyDescent="0.25">
      <c r="A55" s="1" t="s">
        <v>149</v>
      </c>
      <c r="B55">
        <v>0</v>
      </c>
    </row>
    <row r="56" spans="1:2" x14ac:dyDescent="0.25">
      <c r="A56" s="1" t="s">
        <v>150</v>
      </c>
      <c r="B56">
        <v>0</v>
      </c>
    </row>
    <row r="57" spans="1:2" x14ac:dyDescent="0.25">
      <c r="A57" s="1" t="s">
        <v>44</v>
      </c>
      <c r="B57">
        <v>0.35</v>
      </c>
    </row>
    <row r="58" spans="1:2" x14ac:dyDescent="0.25">
      <c r="A58" s="1" t="s">
        <v>151</v>
      </c>
      <c r="B58">
        <v>0</v>
      </c>
    </row>
    <row r="59" spans="1:2" x14ac:dyDescent="0.25">
      <c r="A59" s="1" t="s">
        <v>152</v>
      </c>
      <c r="B59">
        <v>0</v>
      </c>
    </row>
    <row r="60" spans="1:2" x14ac:dyDescent="0.25">
      <c r="A60" s="1" t="s">
        <v>45</v>
      </c>
      <c r="B60">
        <v>0.35</v>
      </c>
    </row>
    <row r="61" spans="1:2" x14ac:dyDescent="0.25">
      <c r="A61" s="1" t="s">
        <v>46</v>
      </c>
      <c r="B61">
        <v>0.35</v>
      </c>
    </row>
    <row r="62" spans="1:2" x14ac:dyDescent="0.25">
      <c r="A62" s="1" t="s">
        <v>153</v>
      </c>
      <c r="B62">
        <v>0</v>
      </c>
    </row>
    <row r="63" spans="1:2" x14ac:dyDescent="0.25">
      <c r="A63" s="1" t="s">
        <v>47</v>
      </c>
      <c r="B63">
        <v>0.35</v>
      </c>
    </row>
    <row r="64" spans="1:2" x14ac:dyDescent="0.25">
      <c r="A64" s="1" t="s">
        <v>48</v>
      </c>
      <c r="B64">
        <v>0.35</v>
      </c>
    </row>
    <row r="65" spans="1:2" x14ac:dyDescent="0.25">
      <c r="A65" s="1" t="s">
        <v>154</v>
      </c>
      <c r="B65">
        <v>0</v>
      </c>
    </row>
    <row r="66" spans="1:2" x14ac:dyDescent="0.25">
      <c r="A66" s="1" t="s">
        <v>155</v>
      </c>
      <c r="B66">
        <v>0</v>
      </c>
    </row>
    <row r="67" spans="1:2" x14ac:dyDescent="0.25">
      <c r="A67" s="1" t="s">
        <v>156</v>
      </c>
      <c r="B67">
        <v>0</v>
      </c>
    </row>
    <row r="68" spans="1:2" x14ac:dyDescent="0.25">
      <c r="A68" s="1" t="s">
        <v>157</v>
      </c>
      <c r="B68">
        <v>0</v>
      </c>
    </row>
    <row r="69" spans="1:2" x14ac:dyDescent="0.25">
      <c r="A69" s="1" t="s">
        <v>158</v>
      </c>
      <c r="B69">
        <v>0</v>
      </c>
    </row>
    <row r="70" spans="1:2" x14ac:dyDescent="0.25">
      <c r="A70" s="1" t="s">
        <v>159</v>
      </c>
      <c r="B70">
        <v>0.35</v>
      </c>
    </row>
    <row r="71" spans="1:2" x14ac:dyDescent="0.25">
      <c r="A71" s="1" t="s">
        <v>49</v>
      </c>
      <c r="B71">
        <v>0.35</v>
      </c>
    </row>
    <row r="72" spans="1:2" x14ac:dyDescent="0.25">
      <c r="A72" s="1" t="s">
        <v>50</v>
      </c>
      <c r="B72">
        <v>0.35</v>
      </c>
    </row>
    <row r="73" spans="1:2" x14ac:dyDescent="0.25">
      <c r="A73" s="1" t="s">
        <v>160</v>
      </c>
      <c r="B73">
        <v>0</v>
      </c>
    </row>
    <row r="74" spans="1:2" x14ac:dyDescent="0.25">
      <c r="A74" s="1" t="s">
        <v>51</v>
      </c>
      <c r="B74">
        <v>0.35</v>
      </c>
    </row>
    <row r="75" spans="1:2" x14ac:dyDescent="0.25">
      <c r="A75" s="1" t="s">
        <v>161</v>
      </c>
      <c r="B75">
        <v>0</v>
      </c>
    </row>
    <row r="76" spans="1:2" x14ac:dyDescent="0.25">
      <c r="A76" s="1" t="s">
        <v>162</v>
      </c>
      <c r="B76">
        <v>0</v>
      </c>
    </row>
    <row r="77" spans="1:2" x14ac:dyDescent="0.25">
      <c r="A77" s="1" t="s">
        <v>163</v>
      </c>
      <c r="B77">
        <v>0</v>
      </c>
    </row>
    <row r="78" spans="1:2" x14ac:dyDescent="0.25">
      <c r="A78" s="1" t="s">
        <v>52</v>
      </c>
      <c r="B78">
        <v>0.35</v>
      </c>
    </row>
    <row r="79" spans="1:2" x14ac:dyDescent="0.25">
      <c r="A79" s="1" t="s">
        <v>164</v>
      </c>
      <c r="B79">
        <v>0</v>
      </c>
    </row>
    <row r="80" spans="1:2" x14ac:dyDescent="0.25">
      <c r="A80" s="1" t="s">
        <v>53</v>
      </c>
      <c r="B80">
        <v>0.35</v>
      </c>
    </row>
    <row r="81" spans="1:2" x14ac:dyDescent="0.25">
      <c r="A81" s="1" t="s">
        <v>54</v>
      </c>
      <c r="B81">
        <v>0.35</v>
      </c>
    </row>
    <row r="82" spans="1:2" x14ac:dyDescent="0.25">
      <c r="A82" s="1" t="s">
        <v>165</v>
      </c>
      <c r="B82">
        <v>0</v>
      </c>
    </row>
    <row r="83" spans="1:2" x14ac:dyDescent="0.25">
      <c r="A83" s="1" t="s">
        <v>55</v>
      </c>
      <c r="B83">
        <v>0.35</v>
      </c>
    </row>
    <row r="84" spans="1:2" x14ac:dyDescent="0.25">
      <c r="A84" s="1" t="s">
        <v>166</v>
      </c>
      <c r="B84">
        <v>0</v>
      </c>
    </row>
    <row r="85" spans="1:2" x14ac:dyDescent="0.25">
      <c r="A85" s="1" t="s">
        <v>56</v>
      </c>
      <c r="B85">
        <v>0.35</v>
      </c>
    </row>
    <row r="86" spans="1:2" x14ac:dyDescent="0.25">
      <c r="A86" s="1" t="s">
        <v>167</v>
      </c>
      <c r="B86">
        <v>0</v>
      </c>
    </row>
    <row r="87" spans="1:2" x14ac:dyDescent="0.25">
      <c r="A87" s="1" t="s">
        <v>57</v>
      </c>
      <c r="B87">
        <v>0.35</v>
      </c>
    </row>
    <row r="88" spans="1:2" x14ac:dyDescent="0.25">
      <c r="A88" s="1" t="s">
        <v>168</v>
      </c>
      <c r="B88">
        <v>0</v>
      </c>
    </row>
    <row r="89" spans="1:2" x14ac:dyDescent="0.25">
      <c r="A89" s="1" t="s">
        <v>58</v>
      </c>
      <c r="B89">
        <v>0.35</v>
      </c>
    </row>
    <row r="90" spans="1:2" x14ac:dyDescent="0.25">
      <c r="A90" s="1" t="s">
        <v>169</v>
      </c>
      <c r="B90">
        <v>0</v>
      </c>
    </row>
    <row r="91" spans="1:2" x14ac:dyDescent="0.25">
      <c r="A91" s="1" t="s">
        <v>59</v>
      </c>
      <c r="B91">
        <v>0.35</v>
      </c>
    </row>
    <row r="92" spans="1:2" x14ac:dyDescent="0.25">
      <c r="A92" s="1" t="s">
        <v>170</v>
      </c>
      <c r="B92">
        <v>0</v>
      </c>
    </row>
    <row r="93" spans="1:2" x14ac:dyDescent="0.25">
      <c r="A93" s="1" t="s">
        <v>171</v>
      </c>
      <c r="B93">
        <v>0</v>
      </c>
    </row>
    <row r="94" spans="1:2" x14ac:dyDescent="0.25">
      <c r="A94" s="1" t="s">
        <v>60</v>
      </c>
      <c r="B94">
        <v>0.35</v>
      </c>
    </row>
    <row r="95" spans="1:2" x14ac:dyDescent="0.25">
      <c r="A95" s="1" t="s">
        <v>172</v>
      </c>
      <c r="B95">
        <v>0</v>
      </c>
    </row>
    <row r="96" spans="1:2" x14ac:dyDescent="0.25">
      <c r="A96" s="1" t="s">
        <v>173</v>
      </c>
      <c r="B96">
        <v>0</v>
      </c>
    </row>
    <row r="97" spans="1:2" x14ac:dyDescent="0.25">
      <c r="A97" s="1" t="s">
        <v>61</v>
      </c>
      <c r="B97">
        <v>0.35</v>
      </c>
    </row>
    <row r="98" spans="1:2" x14ac:dyDescent="0.25">
      <c r="A98" s="1" t="s">
        <v>174</v>
      </c>
      <c r="B98">
        <v>0</v>
      </c>
    </row>
    <row r="99" spans="1:2" x14ac:dyDescent="0.25">
      <c r="A99" s="1" t="s">
        <v>175</v>
      </c>
      <c r="B99">
        <v>0</v>
      </c>
    </row>
    <row r="100" spans="1:2" x14ac:dyDescent="0.25">
      <c r="A100" s="1" t="s">
        <v>62</v>
      </c>
      <c r="B100">
        <v>0.35</v>
      </c>
    </row>
    <row r="101" spans="1:2" x14ac:dyDescent="0.25">
      <c r="A101" s="1" t="s">
        <v>63</v>
      </c>
      <c r="B101">
        <v>0.35</v>
      </c>
    </row>
    <row r="102" spans="1:2" x14ac:dyDescent="0.25">
      <c r="A102" s="1" t="s">
        <v>64</v>
      </c>
      <c r="B102">
        <v>0.35</v>
      </c>
    </row>
    <row r="103" spans="1:2" x14ac:dyDescent="0.25">
      <c r="A103" s="1" t="s">
        <v>176</v>
      </c>
      <c r="B103">
        <v>0</v>
      </c>
    </row>
    <row r="104" spans="1:2" x14ac:dyDescent="0.25">
      <c r="A104" s="1" t="s">
        <v>65</v>
      </c>
      <c r="B104">
        <v>0.35</v>
      </c>
    </row>
    <row r="105" spans="1:2" x14ac:dyDescent="0.25">
      <c r="A105" s="1" t="s">
        <v>66</v>
      </c>
      <c r="B105">
        <v>0.35</v>
      </c>
    </row>
    <row r="106" spans="1:2" x14ac:dyDescent="0.25">
      <c r="A106" s="1" t="s">
        <v>177</v>
      </c>
      <c r="B106">
        <v>0</v>
      </c>
    </row>
    <row r="107" spans="1:2" x14ac:dyDescent="0.25">
      <c r="A107" s="1" t="s">
        <v>67</v>
      </c>
      <c r="B107">
        <v>0.35</v>
      </c>
    </row>
    <row r="108" spans="1:2" x14ac:dyDescent="0.25">
      <c r="A108" s="1" t="s">
        <v>178</v>
      </c>
      <c r="B108">
        <v>0</v>
      </c>
    </row>
    <row r="109" spans="1:2" x14ac:dyDescent="0.25">
      <c r="A109" s="1" t="s">
        <v>68</v>
      </c>
      <c r="B109">
        <v>0.35</v>
      </c>
    </row>
    <row r="110" spans="1:2" x14ac:dyDescent="0.25">
      <c r="A110" s="1" t="s">
        <v>69</v>
      </c>
      <c r="B110">
        <v>0.35</v>
      </c>
    </row>
    <row r="111" spans="1:2" x14ac:dyDescent="0.25">
      <c r="A111" s="1" t="s">
        <v>70</v>
      </c>
      <c r="B111">
        <v>0.35</v>
      </c>
    </row>
    <row r="112" spans="1:2" x14ac:dyDescent="0.25">
      <c r="A112" s="1" t="s">
        <v>179</v>
      </c>
      <c r="B112">
        <v>0</v>
      </c>
    </row>
    <row r="113" spans="1:2" x14ac:dyDescent="0.25">
      <c r="A113" s="1" t="s">
        <v>71</v>
      </c>
      <c r="B113">
        <v>0.35</v>
      </c>
    </row>
    <row r="114" spans="1:2" x14ac:dyDescent="0.25">
      <c r="A114" s="1" t="s">
        <v>180</v>
      </c>
      <c r="B114">
        <v>0</v>
      </c>
    </row>
    <row r="115" spans="1:2" x14ac:dyDescent="0.25">
      <c r="A115" s="1" t="s">
        <v>72</v>
      </c>
      <c r="B115">
        <v>0.35</v>
      </c>
    </row>
    <row r="116" spans="1:2" x14ac:dyDescent="0.25">
      <c r="A116" s="1" t="s">
        <v>181</v>
      </c>
      <c r="B116">
        <v>0</v>
      </c>
    </row>
    <row r="117" spans="1:2" x14ac:dyDescent="0.25">
      <c r="A117" s="1" t="s">
        <v>73</v>
      </c>
      <c r="B117">
        <v>0.35</v>
      </c>
    </row>
    <row r="118" spans="1:2" x14ac:dyDescent="0.25">
      <c r="A118" s="1" t="s">
        <v>74</v>
      </c>
      <c r="B118">
        <v>0.35</v>
      </c>
    </row>
    <row r="119" spans="1:2" x14ac:dyDescent="0.25">
      <c r="A119" s="1" t="s">
        <v>182</v>
      </c>
      <c r="B119">
        <v>0</v>
      </c>
    </row>
    <row r="120" spans="1:2" x14ac:dyDescent="0.25">
      <c r="A120" s="1" t="s">
        <v>75</v>
      </c>
      <c r="B120">
        <v>0.35</v>
      </c>
    </row>
    <row r="121" spans="1:2" x14ac:dyDescent="0.25">
      <c r="A121" s="1" t="s">
        <v>183</v>
      </c>
      <c r="B121">
        <v>0</v>
      </c>
    </row>
    <row r="122" spans="1:2" x14ac:dyDescent="0.25">
      <c r="A122" s="1" t="s">
        <v>184</v>
      </c>
      <c r="B122">
        <v>0</v>
      </c>
    </row>
    <row r="123" spans="1:2" x14ac:dyDescent="0.25">
      <c r="A123" s="1" t="s">
        <v>76</v>
      </c>
      <c r="B123">
        <v>0.35</v>
      </c>
    </row>
    <row r="124" spans="1:2" x14ac:dyDescent="0.25">
      <c r="A124" s="1" t="s">
        <v>185</v>
      </c>
      <c r="B124">
        <v>0</v>
      </c>
    </row>
    <row r="125" spans="1:2" x14ac:dyDescent="0.25">
      <c r="A125" s="1" t="s">
        <v>186</v>
      </c>
      <c r="B125">
        <v>0</v>
      </c>
    </row>
    <row r="126" spans="1:2" x14ac:dyDescent="0.25">
      <c r="A126" s="1" t="s">
        <v>77</v>
      </c>
      <c r="B126">
        <v>0.35</v>
      </c>
    </row>
    <row r="127" spans="1:2" x14ac:dyDescent="0.25">
      <c r="A127" s="1" t="s">
        <v>78</v>
      </c>
      <c r="B127">
        <v>0.35</v>
      </c>
    </row>
    <row r="128" spans="1:2" x14ac:dyDescent="0.25">
      <c r="A128" s="1" t="s">
        <v>187</v>
      </c>
      <c r="B128">
        <v>0</v>
      </c>
    </row>
    <row r="129" spans="1:2" x14ac:dyDescent="0.25">
      <c r="A129" s="1" t="s">
        <v>188</v>
      </c>
      <c r="B129">
        <v>0</v>
      </c>
    </row>
    <row r="130" spans="1:2" x14ac:dyDescent="0.25">
      <c r="A130" s="1" t="s">
        <v>111</v>
      </c>
      <c r="B130">
        <v>0.2</v>
      </c>
    </row>
    <row r="131" spans="1:2" x14ac:dyDescent="0.25">
      <c r="A131" s="1" t="s">
        <v>112</v>
      </c>
      <c r="B131">
        <v>0.2</v>
      </c>
    </row>
    <row r="132" spans="1:2" x14ac:dyDescent="0.25">
      <c r="A132" s="1" t="s">
        <v>189</v>
      </c>
      <c r="B132">
        <v>0</v>
      </c>
    </row>
    <row r="133" spans="1:2" x14ac:dyDescent="0.25">
      <c r="A133" s="1" t="s">
        <v>190</v>
      </c>
      <c r="B133">
        <v>0</v>
      </c>
    </row>
    <row r="134" spans="1:2" x14ac:dyDescent="0.25">
      <c r="A134" s="1" t="s">
        <v>191</v>
      </c>
      <c r="B134">
        <v>0</v>
      </c>
    </row>
    <row r="135" spans="1:2" x14ac:dyDescent="0.25">
      <c r="A135" s="1" t="s">
        <v>192</v>
      </c>
      <c r="B135">
        <v>0</v>
      </c>
    </row>
    <row r="136" spans="1:2" x14ac:dyDescent="0.25">
      <c r="A136" s="1" t="s">
        <v>113</v>
      </c>
      <c r="B136" s="34">
        <v>0</v>
      </c>
    </row>
    <row r="137" spans="1:2" x14ac:dyDescent="0.25">
      <c r="A137" s="1" t="s">
        <v>193</v>
      </c>
      <c r="B137">
        <v>0</v>
      </c>
    </row>
    <row r="138" spans="1:2" x14ac:dyDescent="0.25">
      <c r="A138" s="1" t="s">
        <v>194</v>
      </c>
      <c r="B138">
        <v>0</v>
      </c>
    </row>
    <row r="139" spans="1:2" x14ac:dyDescent="0.25">
      <c r="A139" s="1" t="s">
        <v>195</v>
      </c>
      <c r="B139">
        <v>0</v>
      </c>
    </row>
    <row r="140" spans="1:2" x14ac:dyDescent="0.25">
      <c r="A140" s="1" t="s">
        <v>196</v>
      </c>
      <c r="B140">
        <v>0</v>
      </c>
    </row>
    <row r="141" spans="1:2" x14ac:dyDescent="0.25">
      <c r="A141" s="1" t="s">
        <v>79</v>
      </c>
      <c r="B141">
        <v>0.35</v>
      </c>
    </row>
    <row r="142" spans="1:2" x14ac:dyDescent="0.25">
      <c r="A142" s="1" t="s">
        <v>80</v>
      </c>
      <c r="B142">
        <v>0.35</v>
      </c>
    </row>
    <row r="143" spans="1:2" x14ac:dyDescent="0.25">
      <c r="A143" s="1" t="s">
        <v>81</v>
      </c>
      <c r="B143">
        <v>0.35</v>
      </c>
    </row>
    <row r="144" spans="1:2" x14ac:dyDescent="0.25">
      <c r="A144" s="1" t="s">
        <v>197</v>
      </c>
      <c r="B144">
        <v>0</v>
      </c>
    </row>
    <row r="145" spans="1:2" x14ac:dyDescent="0.25">
      <c r="A145" s="1" t="s">
        <v>198</v>
      </c>
      <c r="B145">
        <v>0</v>
      </c>
    </row>
    <row r="146" spans="1:2" x14ac:dyDescent="0.25">
      <c r="A146" s="1" t="s">
        <v>114</v>
      </c>
      <c r="B146" s="34">
        <v>0</v>
      </c>
    </row>
    <row r="147" spans="1:2" x14ac:dyDescent="0.25">
      <c r="A147" s="1" t="s">
        <v>199</v>
      </c>
      <c r="B147">
        <v>0</v>
      </c>
    </row>
    <row r="148" spans="1:2" x14ac:dyDescent="0.25">
      <c r="A148" s="1" t="s">
        <v>200</v>
      </c>
      <c r="B148">
        <v>0</v>
      </c>
    </row>
    <row r="149" spans="1:2" x14ac:dyDescent="0.25">
      <c r="A149" s="1" t="s">
        <v>201</v>
      </c>
      <c r="B149">
        <v>0</v>
      </c>
    </row>
    <row r="150" spans="1:2" x14ac:dyDescent="0.25">
      <c r="A150" s="1" t="s">
        <v>202</v>
      </c>
      <c r="B150">
        <v>0</v>
      </c>
    </row>
    <row r="151" spans="1:2" x14ac:dyDescent="0.25">
      <c r="A151" s="1" t="s">
        <v>203</v>
      </c>
      <c r="B151">
        <v>0</v>
      </c>
    </row>
    <row r="152" spans="1:2" x14ac:dyDescent="0.25">
      <c r="A152" s="1" t="s">
        <v>82</v>
      </c>
      <c r="B152">
        <v>0.35</v>
      </c>
    </row>
    <row r="153" spans="1:2" x14ac:dyDescent="0.25">
      <c r="A153" s="1" t="s">
        <v>204</v>
      </c>
      <c r="B153">
        <v>0</v>
      </c>
    </row>
    <row r="154" spans="1:2" x14ac:dyDescent="0.25">
      <c r="A154" s="1" t="s">
        <v>83</v>
      </c>
      <c r="B154">
        <v>0.35</v>
      </c>
    </row>
    <row r="155" spans="1:2" x14ac:dyDescent="0.25">
      <c r="A155" s="1" t="s">
        <v>205</v>
      </c>
      <c r="B155">
        <v>0</v>
      </c>
    </row>
    <row r="156" spans="1:2" x14ac:dyDescent="0.25">
      <c r="A156" s="1" t="s">
        <v>206</v>
      </c>
      <c r="B156">
        <v>0</v>
      </c>
    </row>
    <row r="157" spans="1:2" x14ac:dyDescent="0.25">
      <c r="A157" s="1" t="s">
        <v>207</v>
      </c>
      <c r="B157">
        <v>0</v>
      </c>
    </row>
    <row r="158" spans="1:2" x14ac:dyDescent="0.25">
      <c r="A158" s="1" t="s">
        <v>208</v>
      </c>
      <c r="B158">
        <v>0</v>
      </c>
    </row>
    <row r="159" spans="1:2" x14ac:dyDescent="0.25">
      <c r="A159" s="1" t="s">
        <v>84</v>
      </c>
      <c r="B159">
        <v>0.35</v>
      </c>
    </row>
    <row r="160" spans="1:2" x14ac:dyDescent="0.25">
      <c r="A160" s="1" t="s">
        <v>209</v>
      </c>
      <c r="B160">
        <v>0</v>
      </c>
    </row>
    <row r="161" spans="1:2" x14ac:dyDescent="0.25">
      <c r="A161" s="1" t="s">
        <v>85</v>
      </c>
      <c r="B161">
        <v>0.35</v>
      </c>
    </row>
    <row r="162" spans="1:2" x14ac:dyDescent="0.25">
      <c r="A162" s="1" t="s">
        <v>86</v>
      </c>
      <c r="B162">
        <v>0.35</v>
      </c>
    </row>
    <row r="163" spans="1:2" x14ac:dyDescent="0.25">
      <c r="A163" s="1" t="s">
        <v>210</v>
      </c>
      <c r="B163">
        <v>0</v>
      </c>
    </row>
    <row r="164" spans="1:2" x14ac:dyDescent="0.25">
      <c r="A164" s="1" t="s">
        <v>211</v>
      </c>
      <c r="B164" s="34">
        <v>0.35</v>
      </c>
    </row>
    <row r="165" spans="1:2" x14ac:dyDescent="0.25">
      <c r="A165" s="1" t="s">
        <v>87</v>
      </c>
      <c r="B165">
        <v>0.35</v>
      </c>
    </row>
    <row r="166" spans="1:2" x14ac:dyDescent="0.25">
      <c r="A166" s="1" t="s">
        <v>212</v>
      </c>
      <c r="B166">
        <v>0</v>
      </c>
    </row>
    <row r="167" spans="1:2" x14ac:dyDescent="0.25">
      <c r="A167" s="1" t="s">
        <v>213</v>
      </c>
      <c r="B167">
        <v>0</v>
      </c>
    </row>
    <row r="168" spans="1:2" x14ac:dyDescent="0.25">
      <c r="A168" s="1" t="s">
        <v>88</v>
      </c>
      <c r="B168">
        <v>0.35</v>
      </c>
    </row>
    <row r="169" spans="1:2" x14ac:dyDescent="0.25">
      <c r="A169" s="1" t="s">
        <v>89</v>
      </c>
      <c r="B169">
        <v>0.35</v>
      </c>
    </row>
    <row r="170" spans="1:2" x14ac:dyDescent="0.25">
      <c r="A170" s="1" t="s">
        <v>90</v>
      </c>
      <c r="B170">
        <v>0.35</v>
      </c>
    </row>
    <row r="171" spans="1:2" x14ac:dyDescent="0.25">
      <c r="A171" s="1" t="s">
        <v>214</v>
      </c>
      <c r="B171">
        <v>0</v>
      </c>
    </row>
    <row r="172" spans="1:2" x14ac:dyDescent="0.25">
      <c r="A172" s="1" t="s">
        <v>91</v>
      </c>
      <c r="B172">
        <v>0.35</v>
      </c>
    </row>
    <row r="173" spans="1:2" x14ac:dyDescent="0.25">
      <c r="A173" s="1" t="s">
        <v>92</v>
      </c>
      <c r="B173">
        <v>0.35</v>
      </c>
    </row>
    <row r="174" spans="1:2" x14ac:dyDescent="0.25">
      <c r="A174" s="1" t="s">
        <v>93</v>
      </c>
      <c r="B174">
        <v>0.35</v>
      </c>
    </row>
    <row r="175" spans="1:2" x14ac:dyDescent="0.25">
      <c r="A175" s="1" t="s">
        <v>215</v>
      </c>
      <c r="B175">
        <v>0</v>
      </c>
    </row>
    <row r="176" spans="1:2" x14ac:dyDescent="0.25">
      <c r="A176" s="1" t="s">
        <v>94</v>
      </c>
      <c r="B176">
        <v>0.35</v>
      </c>
    </row>
    <row r="177" spans="1:2" x14ac:dyDescent="0.25">
      <c r="A177" s="1" t="s">
        <v>216</v>
      </c>
      <c r="B177">
        <v>0</v>
      </c>
    </row>
    <row r="178" spans="1:2" x14ac:dyDescent="0.25">
      <c r="A178" s="1" t="s">
        <v>95</v>
      </c>
      <c r="B178">
        <v>0.35</v>
      </c>
    </row>
    <row r="179" spans="1:2" x14ac:dyDescent="0.25">
      <c r="A179" s="1" t="s">
        <v>217</v>
      </c>
      <c r="B179">
        <v>0</v>
      </c>
    </row>
    <row r="180" spans="1:2" x14ac:dyDescent="0.25">
      <c r="A180" s="1" t="s">
        <v>218</v>
      </c>
      <c r="B180">
        <v>0</v>
      </c>
    </row>
    <row r="181" spans="1:2" x14ac:dyDescent="0.25">
      <c r="A181" s="1" t="s">
        <v>219</v>
      </c>
      <c r="B181">
        <v>0</v>
      </c>
    </row>
    <row r="182" spans="1:2" x14ac:dyDescent="0.25">
      <c r="A182" s="1" t="s">
        <v>220</v>
      </c>
      <c r="B182">
        <v>0</v>
      </c>
    </row>
    <row r="183" spans="1:2" x14ac:dyDescent="0.25">
      <c r="A183" s="1" t="s">
        <v>221</v>
      </c>
      <c r="B183">
        <v>0</v>
      </c>
    </row>
    <row r="184" spans="1:2" x14ac:dyDescent="0.25">
      <c r="A184" s="1" t="s">
        <v>96</v>
      </c>
      <c r="B184">
        <v>0.35</v>
      </c>
    </row>
    <row r="185" spans="1:2" x14ac:dyDescent="0.25">
      <c r="A185" s="1" t="s">
        <v>97</v>
      </c>
      <c r="B185">
        <v>0.35</v>
      </c>
    </row>
    <row r="186" spans="1:2" x14ac:dyDescent="0.25">
      <c r="A186" s="1" t="s">
        <v>98</v>
      </c>
      <c r="B186">
        <v>0.35</v>
      </c>
    </row>
    <row r="187" spans="1:2" x14ac:dyDescent="0.25">
      <c r="A187" s="1" t="s">
        <v>222</v>
      </c>
      <c r="B187">
        <v>0</v>
      </c>
    </row>
    <row r="188" spans="1:2" x14ac:dyDescent="0.25">
      <c r="A188" s="1" t="s">
        <v>99</v>
      </c>
      <c r="B188">
        <v>0.35</v>
      </c>
    </row>
    <row r="189" spans="1:2" x14ac:dyDescent="0.25">
      <c r="A189" s="1" t="s">
        <v>223</v>
      </c>
      <c r="B189">
        <v>0</v>
      </c>
    </row>
    <row r="190" spans="1:2" x14ac:dyDescent="0.25">
      <c r="A190" s="1" t="s">
        <v>100</v>
      </c>
      <c r="B190">
        <v>0.35</v>
      </c>
    </row>
    <row r="191" spans="1:2" x14ac:dyDescent="0.25">
      <c r="A191" s="1" t="s">
        <v>224</v>
      </c>
      <c r="B191">
        <v>0</v>
      </c>
    </row>
    <row r="192" spans="1:2" x14ac:dyDescent="0.25">
      <c r="A192" s="1" t="s">
        <v>101</v>
      </c>
      <c r="B192">
        <v>0.35</v>
      </c>
    </row>
    <row r="193" spans="1:2" x14ac:dyDescent="0.25">
      <c r="A193" s="1" t="s">
        <v>225</v>
      </c>
      <c r="B193">
        <v>0</v>
      </c>
    </row>
    <row r="194" spans="1:2" x14ac:dyDescent="0.25">
      <c r="A194" s="1" t="s">
        <v>226</v>
      </c>
      <c r="B194">
        <v>0</v>
      </c>
    </row>
    <row r="195" spans="1:2" x14ac:dyDescent="0.25">
      <c r="A195" s="1" t="s">
        <v>227</v>
      </c>
      <c r="B195">
        <v>0</v>
      </c>
    </row>
    <row r="196" spans="1:2" x14ac:dyDescent="0.25">
      <c r="A196" s="1" t="s">
        <v>102</v>
      </c>
      <c r="B196">
        <v>0.35</v>
      </c>
    </row>
    <row r="197" spans="1:2" x14ac:dyDescent="0.25">
      <c r="A197" s="1" t="s">
        <v>228</v>
      </c>
      <c r="B197">
        <v>0</v>
      </c>
    </row>
    <row r="198" spans="1:2" x14ac:dyDescent="0.25">
      <c r="A198" s="1" t="s">
        <v>229</v>
      </c>
      <c r="B198">
        <v>0</v>
      </c>
    </row>
    <row r="199" spans="1:2" x14ac:dyDescent="0.25">
      <c r="A199" s="1" t="s">
        <v>103</v>
      </c>
      <c r="B199">
        <v>0.35</v>
      </c>
    </row>
    <row r="200" spans="1:2" x14ac:dyDescent="0.25">
      <c r="A200" s="1" t="s">
        <v>104</v>
      </c>
      <c r="B200">
        <v>0.35</v>
      </c>
    </row>
    <row r="201" spans="1:2" x14ac:dyDescent="0.25">
      <c r="A201" s="1" t="s">
        <v>230</v>
      </c>
      <c r="B201">
        <v>0</v>
      </c>
    </row>
    <row r="202" spans="1:2" x14ac:dyDescent="0.25">
      <c r="A202" s="1" t="s">
        <v>105</v>
      </c>
      <c r="B202">
        <v>0.35</v>
      </c>
    </row>
    <row r="203" spans="1:2" x14ac:dyDescent="0.25">
      <c r="A203" s="1" t="s">
        <v>231</v>
      </c>
      <c r="B203">
        <v>0</v>
      </c>
    </row>
    <row r="204" spans="1:2" x14ac:dyDescent="0.25">
      <c r="A204" s="1" t="s">
        <v>106</v>
      </c>
      <c r="B204">
        <v>0.35</v>
      </c>
    </row>
    <row r="205" spans="1:2" x14ac:dyDescent="0.25">
      <c r="A205" s="1" t="s">
        <v>107</v>
      </c>
      <c r="B205">
        <v>0.35</v>
      </c>
    </row>
    <row r="206" spans="1:2" x14ac:dyDescent="0.25">
      <c r="A206" s="1" t="s">
        <v>232</v>
      </c>
      <c r="B206">
        <v>0</v>
      </c>
    </row>
    <row r="207" spans="1:2" x14ac:dyDescent="0.25">
      <c r="A207" s="1" t="s">
        <v>34</v>
      </c>
      <c r="B207">
        <v>0.35</v>
      </c>
    </row>
    <row r="208" spans="1:2" x14ac:dyDescent="0.25">
      <c r="A208" s="1" t="s">
        <v>233</v>
      </c>
      <c r="B208">
        <v>0</v>
      </c>
    </row>
    <row r="209" spans="1:2" x14ac:dyDescent="0.25">
      <c r="A209" s="1" t="s">
        <v>234</v>
      </c>
      <c r="B209">
        <v>0</v>
      </c>
    </row>
    <row r="210" spans="1:2" x14ac:dyDescent="0.25">
      <c r="A210" s="1" t="s">
        <v>29</v>
      </c>
      <c r="B210" s="34">
        <v>0.5</v>
      </c>
    </row>
    <row r="211" spans="1:2" x14ac:dyDescent="0.25">
      <c r="A211" s="1" t="s">
        <v>28</v>
      </c>
      <c r="B211" s="34">
        <v>0.5</v>
      </c>
    </row>
    <row r="212" spans="1:2" x14ac:dyDescent="0.25">
      <c r="A212" s="1" t="s">
        <v>27</v>
      </c>
      <c r="B212" s="34">
        <v>0.5</v>
      </c>
    </row>
    <row r="213" spans="1:2" x14ac:dyDescent="0.25">
      <c r="A213" s="1" t="s">
        <v>26</v>
      </c>
      <c r="B213" s="34">
        <v>0.5</v>
      </c>
    </row>
    <row r="214" spans="1:2" x14ac:dyDescent="0.25">
      <c r="A214" s="1" t="s">
        <v>25</v>
      </c>
      <c r="B214" s="34">
        <v>0.35</v>
      </c>
    </row>
    <row r="215" spans="1:2" x14ac:dyDescent="0.25">
      <c r="A215" s="1" t="s">
        <v>115</v>
      </c>
      <c r="B215" s="34">
        <v>0</v>
      </c>
    </row>
    <row r="216" spans="1:2" x14ac:dyDescent="0.25">
      <c r="A216" s="49" t="s">
        <v>23</v>
      </c>
      <c r="B216" s="34">
        <v>0.25</v>
      </c>
    </row>
  </sheetData>
  <mergeCells count="7">
    <mergeCell ref="A10:L10"/>
    <mergeCell ref="M1:W1"/>
    <mergeCell ref="D5:D9"/>
    <mergeCell ref="D2:H2"/>
    <mergeCell ref="F3:H3"/>
    <mergeCell ref="A1:L1"/>
    <mergeCell ref="J2: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E1E21B8E66543B65C1321C15ABF86" ma:contentTypeVersion="" ma:contentTypeDescription="Create a new document." ma:contentTypeScope="" ma:versionID="cbbbf34fd3a34b3e71a17b0c0eca12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5a99eeca54ce25fca9ace5c2836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0E99A-E886-4B70-972C-BBB11BA3E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D3CAB-B930-4987-B034-B098C007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F17407-2811-44B9-9D58-6A207E7FCFE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27</vt:i4>
      </vt:variant>
    </vt:vector>
  </HeadingPairs>
  <TitlesOfParts>
    <vt:vector size="31" baseType="lpstr">
      <vt:lpstr>Elolap</vt:lpstr>
      <vt:lpstr>Tamogatastartalom</vt:lpstr>
      <vt:lpstr>Szamitasok</vt:lpstr>
      <vt:lpstr>Adatok</vt:lpstr>
      <vt:lpstr>altalanoskizarok</vt:lpstr>
      <vt:lpstr>arfolyam</vt:lpstr>
      <vt:lpstr>eurelszamolhato</vt:lpstr>
      <vt:lpstr>eximfelar</vt:lpstr>
      <vt:lpstr>forintelszamolhato</vt:lpstr>
      <vt:lpstr>halaszatikizarok</vt:lpstr>
      <vt:lpstr>Helyszín</vt:lpstr>
      <vt:lpstr>Hitelek</vt:lpstr>
      <vt:lpstr>hitelpertamogatasarany</vt:lpstr>
      <vt:lpstr>kategoriavalaszto</vt:lpstr>
      <vt:lpstr>Közép_Magyarország</vt:lpstr>
      <vt:lpstr>mezogazdkizarok</vt:lpstr>
      <vt:lpstr>minkamatkedv</vt:lpstr>
      <vt:lpstr>piacikamat</vt:lpstr>
      <vt:lpstr>refkam</vt:lpstr>
      <vt:lpstr>refkammax</vt:lpstr>
      <vt:lpstr>refkammin</vt:lpstr>
      <vt:lpstr>tenylegeskamat</vt:lpstr>
      <vt:lpstr>tenylegestt</vt:lpstr>
      <vt:lpstr>torlesztes</vt:lpstr>
      <vt:lpstr>Törlesztés</vt:lpstr>
      <vt:lpstr>Törlesztés_lízing</vt:lpstr>
      <vt:lpstr>Törlesztésgyakoriság</vt:lpstr>
      <vt:lpstr>ttmax_alt</vt:lpstr>
      <vt:lpstr>ttmax_hal</vt:lpstr>
      <vt:lpstr>ttmax_mg</vt:lpstr>
      <vt:lpstr>vallmeret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Schamschula György</dc:creator>
  <cp:lastModifiedBy>Gyetvainé Horváth Mária</cp:lastModifiedBy>
  <dcterms:created xsi:type="dcterms:W3CDTF">2014-04-01T08:56:39Z</dcterms:created>
  <dcterms:modified xsi:type="dcterms:W3CDTF">2021-03-03T07:14:48Z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yelv">
    <vt:lpwstr>Magyar</vt:lpwstr>
  </property>
  <property fmtid="{D5CDD505-2E9C-101B-9397-08002B2CF9AE}" pid="3" name="ContentTypeId">
    <vt:lpwstr>0x010100C06E1E21B8E66543B65C1321C15ABF86</vt:lpwstr>
  </property>
</Properties>
</file>